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8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9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0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drawings/drawing11.xml" ContentType="application/vnd.openxmlformats-officedocument.drawing+xml"/>
  <Override PartName="/xl/worksheets/sheet38.xml" ContentType="application/vnd.openxmlformats-officedocument.spreadsheetml.worksheet+xml"/>
  <Override PartName="/xl/drawings/drawing12.xml" ContentType="application/vnd.openxmlformats-officedocument.drawing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drawings/drawing13.xml" ContentType="application/vnd.openxmlformats-officedocument.drawing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43" firstSheet="26" activeTab="44"/>
  </bookViews>
  <sheets>
    <sheet name="G Voitures" sheetId="1" r:id="rId1"/>
    <sheet name="G2 Voitures" sheetId="2" r:id="rId2"/>
    <sheet name="Voitures" sheetId="3" r:id="rId3"/>
    <sheet name="Tabsol2" sheetId="4" r:id="rId4"/>
    <sheet name="Tabsol" sheetId="5" r:id="rId5"/>
    <sheet name="Tab" sheetId="6" r:id="rId6"/>
    <sheet name="G niveau" sheetId="7" r:id="rId7"/>
    <sheet name="Niveau" sheetId="8" r:id="rId8"/>
    <sheet name="G population" sheetId="9" r:id="rId9"/>
    <sheet name="Population" sheetId="10" r:id="rId10"/>
    <sheet name="G salaires" sheetId="11" r:id="rId11"/>
    <sheet name="Salaires" sheetId="12" r:id="rId12"/>
    <sheet name="G revenus" sheetId="13" r:id="rId13"/>
    <sheet name="Revenus" sheetId="14" r:id="rId14"/>
    <sheet name="Rev aut" sheetId="15" r:id="rId15"/>
    <sheet name="Exploitations" sheetId="16" r:id="rId16"/>
    <sheet name="Enfants" sheetId="17" r:id="rId17"/>
    <sheet name="Autre" sheetId="18" r:id="rId18"/>
    <sheet name="Notes sol" sheetId="19" r:id="rId19"/>
    <sheet name="Notes" sheetId="20" r:id="rId20"/>
    <sheet name="Moy sol" sheetId="21" r:id="rId21"/>
    <sheet name="Moyennes" sheetId="22" r:id="rId22"/>
    <sheet name="G France" sheetId="23" r:id="rId23"/>
    <sheet name="France" sheetId="24" r:id="rId24"/>
    <sheet name="CA" sheetId="25" r:id="rId25"/>
    <sheet name="Maga" sheetId="26" r:id="rId26"/>
    <sheet name="Indices" sheetId="27" r:id="rId27"/>
    <sheet name="fréq" sheetId="28" r:id="rId28"/>
    <sheet name="freq2" sheetId="29" r:id="rId29"/>
    <sheet name="freq3" sheetId="30" r:id="rId30"/>
    <sheet name="Con Sol" sheetId="31" r:id="rId31"/>
    <sheet name="Concent" sheetId="32" r:id="rId32"/>
    <sheet name="Exam" sheetId="33" r:id="rId33"/>
    <sheet name="Exam sol" sheetId="34" r:id="rId34"/>
    <sheet name="Cont Sol" sheetId="35" r:id="rId35"/>
    <sheet name="Controle" sheetId="36" r:id="rId36"/>
    <sheet name="Epreuve1" sheetId="37" r:id="rId37"/>
    <sheet name="Epreuve2" sheetId="38" r:id="rId38"/>
    <sheet name="MCO" sheetId="39" r:id="rId39"/>
    <sheet name="Log&amp;Exp" sheetId="40" r:id="rId40"/>
    <sheet name="Ex2Sol" sheetId="41" r:id="rId41"/>
    <sheet name="Exam2" sheetId="42" r:id="rId42"/>
    <sheet name="Ex3" sheetId="43" r:id="rId43"/>
    <sheet name="va sol" sheetId="44" r:id="rId44"/>
    <sheet name="va" sheetId="45" r:id="rId45"/>
    <sheet name="Feuille45" sheetId="46" state="hidden" r:id="rId46"/>
    <sheet name="Feuille46" sheetId="47" state="hidden" r:id="rId47"/>
    <sheet name="Feuille47" sheetId="48" state="hidden" r:id="rId48"/>
  </sheets>
  <definedNames>
    <definedName name="Ntot">'freq2'!$P$14</definedName>
  </definedNames>
  <calcPr fullCalcOnLoad="1"/>
</workbook>
</file>

<file path=xl/sharedStrings.xml><?xml version="1.0" encoding="utf-8"?>
<sst xmlns="http://schemas.openxmlformats.org/spreadsheetml/2006/main" count="1701" uniqueCount="1046">
  <si>
    <t>3° Régresser SAL sur SEXE, ED et AGE (et la constante), écrire l'équation estimée et commenter les résultats obtenus.</t>
  </si>
  <si>
    <t>Donner une interprétation concrète de chacun des coefficients estimés.</t>
  </si>
  <si>
    <t>4° Régresser SAL sur ED et AGE (et la constante) séparément pour les hommes et les femmes et commenter les résultats obtenus.</t>
  </si>
  <si>
    <t>Corrigé</t>
  </si>
  <si>
    <t>Estimation ponctuelle : f = 480 / 910 = 0,527,,,</t>
  </si>
  <si>
    <t>Intervalle de confiance : p appartient à [f - 1,96.(f.(1-f)/910)^0,5 ; f + 1,96.(f.(1-f)/910)^0,5] au risque 5%</t>
  </si>
  <si>
    <t>soit [0,495 ; 0,560]</t>
  </si>
  <si>
    <t>II - 1°</t>
  </si>
  <si>
    <t>P(0)*Q(0)</t>
  </si>
  <si>
    <t>P(1)*Q(0)</t>
  </si>
  <si>
    <t>P(2)*Q(0)</t>
  </si>
  <si>
    <t>I(1/0) = 10,88 / 9,15 = 1,1891 soit une hausse de 18,91%</t>
  </si>
  <si>
    <t>I(2/0) = 13,44 / 9,15 = 1,4689 soit une hausse de 46,89%</t>
  </si>
  <si>
    <t>II - 2°</t>
  </si>
  <si>
    <t>Approximativement, on peut considérer que I(2/1) = I(2/0) / I(1/0) = 1,2353… soit une hausse de 23,53%</t>
  </si>
  <si>
    <t>II - 3°</t>
  </si>
  <si>
    <t>P = 10 / I(2/1) = 8,10</t>
  </si>
  <si>
    <t>III - 1°</t>
  </si>
  <si>
    <t>III - 2°</t>
  </si>
  <si>
    <t>III - 3°</t>
  </si>
  <si>
    <t>Coefficients</t>
  </si>
  <si>
    <t>Statistique t</t>
  </si>
  <si>
    <t>Constante</t>
  </si>
  <si>
    <t>On convient de donner le détail du commentaire attendu pour cette question-ci.</t>
  </si>
  <si>
    <t>On passe sur le coefficient de détermination, faible (0,58) comme souvent en socio-économie mais d'intérêt mineur.</t>
  </si>
  <si>
    <t>Les Student sont significatifs à 5% sauf celui de la constante qui n'a guère d'importance, et celui associé à l'âge.</t>
  </si>
  <si>
    <t>Les coefficients significatifs ont le signe attendu : influence positive sur le salaire des études, et négative de</t>
  </si>
  <si>
    <t>l'appartenance au sexe féminin.</t>
  </si>
  <si>
    <t>Bien que peu significative selon le test de Student, on peut toutefois noter que l'influence de l'âge va dans le sens</t>
  </si>
  <si>
    <t>généralement admis.</t>
  </si>
  <si>
    <t>Pour être plus précis : un an d'études de plus augmente de 263€ le salaire.</t>
  </si>
  <si>
    <t>Une femme gagne 882€ de moins qu'un homme de mêmes caractéristiques (ED et AG).</t>
  </si>
  <si>
    <t>Tout cela est évidemment approximatif et ne traduit que le comportement d'un salaire qui suivrait exactement la</t>
  </si>
  <si>
    <t>relation estimée !</t>
  </si>
  <si>
    <t>III - 4°</t>
  </si>
  <si>
    <t>Exercice 1</t>
  </si>
  <si>
    <t>On veut construire un indice synthétique des prix alimentaires, on fixe les quantités définissant</t>
  </si>
  <si>
    <t>le panier en période initiale et on donne les prix unitaires en périodes 0 (initiale), 1 et 2.</t>
  </si>
  <si>
    <t>Quantité 1</t>
  </si>
  <si>
    <t>Quantité 2</t>
  </si>
  <si>
    <t>2° En utlisant l'un des indices précédents, indiquer combien coûtait approximativement en période</t>
  </si>
  <si>
    <t>0 un repas de 8,50 € en période 2.</t>
  </si>
  <si>
    <t>3° Calculez l'indice de Laspeyres I(2/1).</t>
  </si>
  <si>
    <t>Exercice 2</t>
  </si>
  <si>
    <t xml:space="preserve">Une certaine entreprise fabrique des ampoules dont elle assure que la durée de vie en heures </t>
  </si>
  <si>
    <t>suit une loi normale N(3000, 500).</t>
  </si>
  <si>
    <t>1° Déterminer un intervalle de confiance au niveau de risque 10% puis 5% pour la durée de</t>
  </si>
  <si>
    <t>vie déclarée de ces ampoules.</t>
  </si>
  <si>
    <t>2° Une association de consommateurs teste un échantillon de 120 ampoules et trouve une</t>
  </si>
  <si>
    <t>durée de vie moyenne de 2750 heures pour un écart-type de 650 heures. Estimer par un</t>
  </si>
  <si>
    <t>intervalle au risque 5% l'espérance de vie réelle de ces ampoules.</t>
  </si>
  <si>
    <t>Exercice 3</t>
  </si>
  <si>
    <t>On rappelle les données du modèle historique de Klein :</t>
  </si>
  <si>
    <t>Cons</t>
  </si>
  <si>
    <t>P</t>
  </si>
  <si>
    <t>Plag</t>
  </si>
  <si>
    <t>Wtot</t>
  </si>
  <si>
    <t>Wpri</t>
  </si>
  <si>
    <t>Klag</t>
  </si>
  <si>
    <t>X</t>
  </si>
  <si>
    <t>G</t>
  </si>
  <si>
    <t>T</t>
  </si>
  <si>
    <t>Xlag</t>
  </si>
  <si>
    <t>Estimer par les mco les deux fonctions de salaires (privés) simplifiées :</t>
  </si>
  <si>
    <t>Wpri = a + b.X + aléa   et   Wpri = a + b.Xlag + aléa</t>
  </si>
  <si>
    <t>et commenter succinctement les résultats.</t>
  </si>
  <si>
    <t>Méthodes quantitatives - contrôle continu</t>
  </si>
  <si>
    <t>On lit sur le site de l'INSEE les indices de prix à la consommation "base 100 en 1998" :</t>
  </si>
  <si>
    <t>116,62 pour octobre 2007, et 119,73 pour octobre 2008.</t>
  </si>
  <si>
    <t>La précision "base 1998" signifie que l'INSEE a pris pour référence les prix moyens</t>
  </si>
  <si>
    <t>de cette année-là. Si cela peut aider, on peut imaginer artificiellement qu'il s'agit</t>
  </si>
  <si>
    <t>du 1er juillet.</t>
  </si>
  <si>
    <t>De même on peut imaginer un jour de base pour les mois d'octobre considérés…</t>
  </si>
  <si>
    <t>1° Quelle somme en 1998 aurait eu la même valeur que 100 € en octobre 2008 ?</t>
  </si>
  <si>
    <t>(on supposera pour l'exercice que l'euro existait déjà et avait cours en 1998).</t>
  </si>
  <si>
    <t>Les prix ayant été multipliés par 1,1973, une somme S de 1998 aura la valeur</t>
  </si>
  <si>
    <t>Sx1,1973 en 2008, par suite si Sx1,1973 = 100 € alors S = 100/1,1973 € = 83,51 €.</t>
  </si>
  <si>
    <t>2° Quelle est l'évolution du pouvoir d'achat de la monnaie entre 1998 et octobre 2008 ?</t>
  </si>
  <si>
    <t>Entre 1998 et octobre 2008, les prix ayant été multipliés par 1,1973 la quantité</t>
  </si>
  <si>
    <t>d'un bien uniforme fictif achetable pour une somme donnée aura été divisée par</t>
  </si>
  <si>
    <t>ce facteur, c'est à dire multipliée par 1/1,1973 = 0,835, soit une baisse de 16,5%</t>
  </si>
  <si>
    <t>du pouvoir d'achat de la monnaie.</t>
  </si>
  <si>
    <t>3° Quelle est la mesure de l'inflation entre octobre 2007 et octobre 2008 ?</t>
  </si>
  <si>
    <t>Du fait de l'enchaînement multiplicatif I(oct08/98) = I(oct07/98)xI(oct08/oct07)</t>
  </si>
  <si>
    <t>par suite I(oct08/oct07) = 1,1973/1,1662 = 1,0267 soit 2,67% d'augmentation des prix</t>
  </si>
  <si>
    <t>d'octobre 2007 à octobre 2008.</t>
  </si>
  <si>
    <t>4° Un salarié a été payé 2.412 € en octobre 2007 et 2.450 € en octobre 2008, quelle est</t>
  </si>
  <si>
    <t>l'évolution de son salaire nominal entre les deux périodes ?</t>
  </si>
  <si>
    <t>L'évolution en terme nominal est mesurée par le ratio salaire final/salaire initial soit</t>
  </si>
  <si>
    <t>2450/2412 = 1,0158 ou une augmentation de 1,58% en terme nominal.</t>
  </si>
  <si>
    <t>5° Quelle est l'évolution de son salaire en termes réels entre les deux périodes ?</t>
  </si>
  <si>
    <t xml:space="preserve">Le ratio précédent compare des salaires perçus à des périodes différentes. La </t>
  </si>
  <si>
    <t>valeur de la monnaie ayant varié, la comparaison en termes réels" peut être</t>
  </si>
  <si>
    <t>faite par exemple en exprimant le salaire initial en euros de la période finale :</t>
  </si>
  <si>
    <t xml:space="preserve">2412xI(oct08/oct07) = 2476,3 et le ratio devient 2450/2476,3 = 0,989 soit une </t>
  </si>
  <si>
    <t>baisse de 1,1%.</t>
  </si>
  <si>
    <t xml:space="preserve">Un raisonnement identique mais abrégé aurait conduit à diviser directement le </t>
  </si>
  <si>
    <t>ratio nominal par l'indice d'évolution des prix.</t>
  </si>
  <si>
    <t>Les salaires mensuels dans une certaine société se répartissent comme suit</t>
  </si>
  <si>
    <t>Salaire en €</t>
  </si>
  <si>
    <t>fi*(xi-moy)²</t>
  </si>
  <si>
    <t>ai=fci</t>
  </si>
  <si>
    <t>bi</t>
  </si>
  <si>
    <t>de 500 à 1500</t>
  </si>
  <si>
    <t>de 1500 à 2000</t>
  </si>
  <si>
    <t>de 2000 à 3000</t>
  </si>
  <si>
    <t>de 3000 à 5000</t>
  </si>
  <si>
    <t>de 5000 à 10.000</t>
  </si>
  <si>
    <t>de 10.000 à 30.000</t>
  </si>
  <si>
    <t>On pourra supposer que les intervalles contiennent leur limite supérieure, et</t>
  </si>
  <si>
    <t>on représentera chacun par sa valeur centrale chaque fois que nécessaire.</t>
  </si>
  <si>
    <t>On note xi et li les centres et largeurs des classes.</t>
  </si>
  <si>
    <t>1° Calculer les fréquences et les fréquences cumulées.</t>
  </si>
  <si>
    <t>2° Prenant 1000 pour largeur étalon, calculer les fréquences rectifiées et</t>
  </si>
  <si>
    <t>construire (à la main) le diagramme de fréquences.</t>
  </si>
  <si>
    <t>La fréquence rectifiée de la largeur de sa classe est fri = fi*(li/étalon).</t>
  </si>
  <si>
    <t>3° Calculer le salaire moyen.</t>
  </si>
  <si>
    <t>Moy = 2359 €.</t>
  </si>
  <si>
    <t>4° Quel serait le salaire moyen si le patron (le mieux payé) renonçait à son</t>
  </si>
  <si>
    <t>salaire ? (ne pas refaire tout le tableau de calculs !)</t>
  </si>
  <si>
    <t>Si on est passé par le calcul des ni*xi et de leur total, il suffit d'oublier la</t>
  </si>
  <si>
    <t>dernière case. Opérant similairement via les fi on obtient 2300 €.</t>
  </si>
  <si>
    <t>5° Calculer la variance et l'écart-type des salaires.</t>
  </si>
  <si>
    <t>Var = 2128291 et écart-type = 1459 €.</t>
  </si>
  <si>
    <t>6° Calculer les séries a(i) et b(i), et construire (à la main) la courbe de</t>
  </si>
  <si>
    <t>concentration.</t>
  </si>
  <si>
    <t>7° Calculer l'indice de concentration.</t>
  </si>
  <si>
    <t>Par le calcul classique approprié, on trouve IG = 0,227.</t>
  </si>
  <si>
    <t>ai</t>
  </si>
  <si>
    <t>Une rente A est constituée par un capital initial de 10.000 € augmenté de 1000 € chaque année.</t>
  </si>
  <si>
    <t>On inscrit un second 1 à la place du 6. Reprendre l'exercice.</t>
  </si>
  <si>
    <t>La variance est 209,75 et l'écart-type 14,48.</t>
  </si>
  <si>
    <t>La variance vaut 2,22.</t>
  </si>
  <si>
    <t>Et l'écart-type, qui en est la racine carrée 1,49.</t>
  </si>
  <si>
    <t>L'espérance vaut 2,67.</t>
  </si>
  <si>
    <t>Une autre rente B est constituée d'un capital initial de 1000 € rapportant 10% chaque année</t>
  </si>
  <si>
    <t>avec capitalisation des intérêts.</t>
  </si>
  <si>
    <t>1° Quel sera le capital accumulé par A et B après, un ans, 5 ans, 10 ans et 50 ans ?</t>
  </si>
  <si>
    <t>2° Au bout de combien d'années le capital accumulé par B dépassera-t-il celui de A ?</t>
  </si>
  <si>
    <t>En construisant un tableau comparable à celui ci-dessus mais donnant toutes les</t>
  </si>
  <si>
    <t>années, on voit que B dépasse A la 42e année.</t>
  </si>
  <si>
    <t>3° Reprendre la question précédente avec un taux de rapport de 15%.</t>
  </si>
  <si>
    <t>Avec un rapport de 15%, B dépasse A la 26e année.</t>
  </si>
  <si>
    <t>4° Si le taux de rapport est de 8% mais dans le même temps l'inflation est de 4,5%, quel est</t>
  </si>
  <si>
    <t>le taux d'intérêt réel ?</t>
  </si>
  <si>
    <t>Selon le calcul multiplicatif classique : 1,08/1,045 = 1,0335 soit 3,4% de taux d'intérêt réel.</t>
  </si>
  <si>
    <t>5° Un opérateur boursier capitalisant ses bénéfices parvient à obtenir un rapport de</t>
  </si>
  <si>
    <t xml:space="preserve">8% pendant deux ans de suite, puis de 11% pendant un an, et enfin il perd 30% de </t>
  </si>
  <si>
    <t>son capital la dernière année.</t>
  </si>
  <si>
    <t>Quel est son bilan pour ces quatre années ?</t>
  </si>
  <si>
    <t>Comme plus haut : I = 1,08x1,08x1,11x0,70 = 0,906 soit une perte de 9,4%.</t>
  </si>
  <si>
    <t>Les exploitations agricoles d'une certaines zone géographique se répartissent</t>
  </si>
  <si>
    <t>comme suit quant au chiffre d'affaire :</t>
  </si>
  <si>
    <t>CA en 1000 €</t>
  </si>
  <si>
    <t>de 10 à 20</t>
  </si>
  <si>
    <t>de 20 à 50</t>
  </si>
  <si>
    <t>de 50 à 100</t>
  </si>
  <si>
    <t>de 100 à 200</t>
  </si>
  <si>
    <t>de 200 à 500</t>
  </si>
  <si>
    <t>On pourra supposer que les intervalles contiennent leur limite inférieure et</t>
  </si>
  <si>
    <t>2° Prenant 20 pour largeur étalon, calculer les fréquences rectifiées et</t>
  </si>
  <si>
    <t>3° Calculer le CA moyen.</t>
  </si>
  <si>
    <t>Moy = 72,5 M€.</t>
  </si>
  <si>
    <t>4° Quel serait le CA moyen si les deux plus riches exploitations faisaient</t>
  </si>
  <si>
    <t>faillite sans être remplacées ? (ne pas refaire tout le tableau de calculs !)</t>
  </si>
  <si>
    <t>dernière case. Opérant similairement via les fi on obtient 66,84 M€.</t>
  </si>
  <si>
    <t>5° Calculer la variance et l'écart-type des CA.</t>
  </si>
  <si>
    <t>Var = 2921 et écart-type = 54 M€.</t>
  </si>
  <si>
    <t>Par le calcul classique approprié, on trouve IG = 0,324.</t>
  </si>
  <si>
    <t>Exercice sur la régression simple</t>
  </si>
  <si>
    <t>Pays</t>
  </si>
  <si>
    <t>CV</t>
  </si>
  <si>
    <t>CCF</t>
  </si>
  <si>
    <t>N-Zélande</t>
  </si>
  <si>
    <t>Canada</t>
  </si>
  <si>
    <t>Danemark</t>
  </si>
  <si>
    <t>Irlande</t>
  </si>
  <si>
    <t>RFA</t>
  </si>
  <si>
    <t>RDA</t>
  </si>
  <si>
    <t>Hongrie</t>
  </si>
  <si>
    <t>Pays-Bas</t>
  </si>
  <si>
    <t>Pologne</t>
  </si>
  <si>
    <t>UK</t>
  </si>
  <si>
    <t>Suède</t>
  </si>
  <si>
    <t>Espagne</t>
  </si>
  <si>
    <t>Portugal</t>
  </si>
  <si>
    <t>Roumanie</t>
  </si>
  <si>
    <t>Finlande</t>
  </si>
  <si>
    <t>Norvège</t>
  </si>
  <si>
    <t>Colombie</t>
  </si>
  <si>
    <t>Chili</t>
  </si>
  <si>
    <t>Yougoslavie</t>
  </si>
  <si>
    <t>Jamaïque</t>
  </si>
  <si>
    <t>Nigeria</t>
  </si>
  <si>
    <t>(exercice d'Agro)</t>
  </si>
  <si>
    <t>CV consommation moyenne de viande (g/j)</t>
  </si>
  <si>
    <t>CCF cancers du colon pour 100.000 femmes</t>
  </si>
  <si>
    <t>1° Construire le graphique CVxCCF et commenter.</t>
  </si>
  <si>
    <t>2° Régresser CCF sur CV et commenter.</t>
  </si>
  <si>
    <t>3° Figurer la droite de régression sur le graphique.</t>
  </si>
  <si>
    <t>Exercices sur les logarithmes et exponentielles</t>
  </si>
  <si>
    <t>Ex1</t>
  </si>
  <si>
    <t xml:space="preserve">Une certaine somme placée à taux annuel constant double en 20 ans. </t>
  </si>
  <si>
    <t>1° En combien de temps aura-t-elle  été multipliée par 4 ?</t>
  </si>
  <si>
    <t>2° Quel est le taux de rapport annuel de ce placement ?</t>
  </si>
  <si>
    <t>3° Après combien d'années aura-t-elle été multipliée par 3 ?</t>
  </si>
  <si>
    <t>Ex2</t>
  </si>
  <si>
    <t>Une certaine somme d'argent du fait de ses placements successifs (capitalisés) varie comme suit :</t>
  </si>
  <si>
    <t>Elle croit de 5% pendant 2 ans.</t>
  </si>
  <si>
    <t>Elle perd 7% de sa valeur l'année qui suit.</t>
  </si>
  <si>
    <t>Elle croit de 2% pendant 1 an.</t>
  </si>
  <si>
    <t>Elle croit de 3% prendant 2 ans.</t>
  </si>
  <si>
    <t>1° Quelle est l'évolution gloable sur la totalité de la période ?</t>
  </si>
  <si>
    <t>2° Quel est l'évolution annuelle moyenne (cad de même effet global répétée pendant 6 ans) ?</t>
  </si>
  <si>
    <t>Solutions</t>
  </si>
  <si>
    <t>1° Pas de calcul nécessaire : une quantité qui double en 20 ans doublera encore les 20 années</t>
  </si>
  <si>
    <t>1° Calculer les indices de Paasche I(1/0) et I(2/0).</t>
  </si>
  <si>
    <t>suivantes il faut donc 40 ans pour qu'elle soit multipliée par 4.</t>
  </si>
  <si>
    <t>Et 60 ans pour qu'elle soit multipliée par 8, etc naturellement hormis pour les puissances de 2,</t>
  </si>
  <si>
    <t>on ne peut éviter d'avoir à faire des calculs,,,</t>
  </si>
  <si>
    <t>2° On cherche I tel que I à la puissance 20 vale 2 :</t>
  </si>
  <si>
    <t>I puissance 20 = 2   soit</t>
  </si>
  <si>
    <t>I = 2 puissance un vingtième = 1,03526…</t>
  </si>
  <si>
    <t>soit approximativement un taux de rapport de 3,53 par an.</t>
  </si>
  <si>
    <t>3° On cherche le nombre d'années N tel que I calculé précedemment à la  puissance N dépasse</t>
  </si>
  <si>
    <t>3 pour la première fois.</t>
  </si>
  <si>
    <t>On peut résoudre cela de deux manières : calculer dans une colonne en Excel les puissances</t>
  </si>
  <si>
    <t>successives de I et y observer le premier N concenant.</t>
  </si>
  <si>
    <t>Ou chercher la solution de I puissance N égale 3 "par les logarithmes" et prendre le premier entier</t>
  </si>
  <si>
    <t>superieur :</t>
  </si>
  <si>
    <t>I puissance N = 3   soit</t>
  </si>
  <si>
    <t>N ln(I) = ln(3)   et</t>
  </si>
  <si>
    <t>N = ln(3) / ln(I) = 31,7…</t>
  </si>
  <si>
    <t>et c'est après 32 ans que le capital aura triplé.</t>
  </si>
  <si>
    <t>On note que la solution "intituitive" : on double en 20 ans _donc_ on triple en 30 ans est fausse.</t>
  </si>
  <si>
    <t>Elle repose sur un calcul proportionnel qui ne traduit pas l'évolution exponentielle d'un capital</t>
  </si>
  <si>
    <t xml:space="preserve">placé à taux constant (ou tout aussi bien de toute quantité s'accroissant d'une manière </t>
  </si>
  <si>
    <t>multiplicative régulière).</t>
  </si>
  <si>
    <t>1° On enchaîne les facteurs multiplicatifs pour calculer l'effet global :</t>
  </si>
  <si>
    <t xml:space="preserve">I = 1,05^2 x 0,93 x 1,02 x 1,03^2 = 1,1095... </t>
  </si>
  <si>
    <t>La somme aura été multipliée par 1,1095… ou encore aura cru de 10,95%.</t>
  </si>
  <si>
    <t>2° Le facteur annuel moyen est la moyenne géométrique des 6 facteurs annuels ou encore la</t>
  </si>
  <si>
    <t>racine 6ème du facteur I calculé précédemment :</t>
  </si>
  <si>
    <t>I puissance un sixième = 1,01747…</t>
  </si>
  <si>
    <t>soit une croissance annuelle moyenne de 1,75%.</t>
  </si>
  <si>
    <t>I - 1°</t>
  </si>
  <si>
    <t>I = 1,06^2 * 1 * 0,98^3 * 1,03^2 = 1,1219,,,</t>
  </si>
  <si>
    <t>I - 2°</t>
  </si>
  <si>
    <t>P = 115 * I = 129,02</t>
  </si>
  <si>
    <t>I - 3°</t>
  </si>
  <si>
    <t>P = 250 / I = 222,83</t>
  </si>
  <si>
    <t>I - 4°</t>
  </si>
  <si>
    <t>i = I^(1/8) = 1,01448 soit une hausse annuelle moyenne de 1,448%,</t>
  </si>
  <si>
    <t>x(i)*n(i)</t>
  </si>
  <si>
    <t>f(i)*[x(i)-Moy]^2</t>
  </si>
  <si>
    <t>n(i)*x(i) cum.</t>
  </si>
  <si>
    <t>a(i)</t>
  </si>
  <si>
    <t>b(i)</t>
  </si>
  <si>
    <t>Moyenne = 1000 / 250 = 40</t>
  </si>
  <si>
    <t>Voir tableau ci-dessus et Médiane = 50</t>
  </si>
  <si>
    <t>Variance = 1140 et Écart-type = 33,76,,,</t>
  </si>
  <si>
    <t>II - 4°</t>
  </si>
  <si>
    <t>Voir tableau et graphique</t>
  </si>
  <si>
    <t>SURF</t>
  </si>
  <si>
    <t>CHAMB</t>
  </si>
  <si>
    <t>SDB</t>
  </si>
  <si>
    <t>Les coefficients ont le signe attendu.</t>
  </si>
  <si>
    <t>PARK</t>
  </si>
  <si>
    <t>PLAGE</t>
  </si>
  <si>
    <t>UNIV</t>
  </si>
  <si>
    <t>On passe sur les coefficients de détermination, bons (ie proches de 1) pour les trois régressions et  d'intérêt mineur.</t>
  </si>
  <si>
    <t>Tout les Student sont significatifs à 5% sauf celui de la constante qui n'a guère d'importance, et celui associé à la</t>
  </si>
  <si>
    <t>distance à l'université, mais il n'est guère éloigné de 2 et il ne faut pas faire une fixation déraisonnable sur le risque</t>
  </si>
  <si>
    <t>5%; on examine donc également cette variable.</t>
  </si>
  <si>
    <t>Tous les coefficients ont le signe attendu : influence positive sur le loyer de la surface, du nombre de chambres, de</t>
  </si>
  <si>
    <t>salles de bain et de parking, et négative de la distance à la plage et à l'université.</t>
  </si>
  <si>
    <t>Pour être plus précis : un m² de plus fait croître de 10€ le loyer.</t>
  </si>
  <si>
    <t>Une chambre de plus l'augmente de 86€.</t>
  </si>
  <si>
    <t>Une salle de bain de plus, de 152€.</t>
  </si>
  <si>
    <t>Une place de parking, de 27€.</t>
  </si>
  <si>
    <t>Un km de plus de la plage le fait baisser de 17€.</t>
  </si>
  <si>
    <t>Et un km de plus de l'université, de 4€.</t>
  </si>
  <si>
    <t>Tout cela est évidemment approximatif et ne traduit que le comportement d'un loyer qui suivrait exactement la</t>
  </si>
  <si>
    <t>Remarques : on  peut  dire que "l'effet plage" et plus important que "l'effet université" car ces deux  variables</t>
  </si>
  <si>
    <t>explicatives sont mesurées dans la même unité; en revanche il serait abusif de déclarer que l'influence du nombre</t>
  </si>
  <si>
    <t>de chambres est supérieure à celle de la surface pour la raison inverse,</t>
  </si>
  <si>
    <t>On peut même considérer comme discutable l'affirmation selon laquelle les salles de bains compteraient plus que</t>
  </si>
  <si>
    <t>les chambres, car bien que mesurées de la même manière (leur nombre), elles n'ont pas la même signification</t>
  </si>
  <si>
    <t>vécue,,,</t>
  </si>
  <si>
    <t>SCHAMB</t>
  </si>
  <si>
    <t>SSDB</t>
  </si>
  <si>
    <t>Idem.</t>
  </si>
  <si>
    <t>Examen</t>
  </si>
  <si>
    <t>1° Quelle est l'évolution globale sur la période ?</t>
  </si>
  <si>
    <t>2° Quel prix de la fin de la période équivaut à 115 (unités) du début de la période ?</t>
  </si>
  <si>
    <t>3° Quel prix du début de la période équivaut à 250 (unités) de la fin de la période ?</t>
  </si>
  <si>
    <t>4° Quelle est l'évolution annuelle moyenne ?</t>
  </si>
  <si>
    <t>Dans une certaine commune rurale, les exploitations agricoles ont les tailles suivantes</t>
  </si>
  <si>
    <t>Taille (ha)</t>
  </si>
  <si>
    <t>1° Calculer la taille moyenne des exploitations</t>
  </si>
  <si>
    <t>2° Calculer les fréquences cumulées et déterminer la médiane</t>
  </si>
  <si>
    <t xml:space="preserve">3° Calculer l'écart-type </t>
  </si>
  <si>
    <t>4° Contruire la courbe de concentration associée à ces données (on fournira le tableau des ai et bi utilisé)</t>
  </si>
  <si>
    <t>Dans une ville universitaire, pour étudier les déterminants des loyers, on a relevé les variables suivantes sur un panel d'appartements locatifs :</t>
  </si>
  <si>
    <t>LOC</t>
  </si>
  <si>
    <t>le loyer (€)</t>
  </si>
  <si>
    <t>la surface (m²)</t>
  </si>
  <si>
    <t>le nombre de chambres</t>
  </si>
  <si>
    <t>la surface totale des chambres</t>
  </si>
  <si>
    <t>le nombre de salles de bain</t>
  </si>
  <si>
    <t>la surface totale des salles de bain</t>
  </si>
  <si>
    <t>le nombre de places de parking</t>
  </si>
  <si>
    <t>la distance à la plage (km)</t>
  </si>
  <si>
    <t>la distance à l'université</t>
  </si>
  <si>
    <t>1° Régresser LOC sur SURF, CHAMB et SDB, écrire la relation estimée (ainsi que pour les questions suivantes) et commenter les résultats obtenus</t>
  </si>
  <si>
    <t>2° Régresser LOC sur SURF, CHAMB, SDB, PARK, PLAGE et UNIV et commenter les résultats obtenus</t>
  </si>
  <si>
    <t>Donner une interprétation concrète de chacun des coefficients</t>
  </si>
  <si>
    <t>3° Régresser LOC sur SURF, SCHAMB, SSDB, PARK, PLAGE et UNIV et commenter les résultats obtenus</t>
  </si>
  <si>
    <t>Solution</t>
  </si>
  <si>
    <t>On fait les calcules classiques.</t>
  </si>
  <si>
    <t>p(i)</t>
  </si>
  <si>
    <t>Statistiques de la régression</t>
  </si>
  <si>
    <t>Corrigé de l'exercice 3</t>
  </si>
  <si>
    <t>MCO</t>
  </si>
  <si>
    <t xml:space="preserve"> - Le coefficient de corrélation est très proche de 1, ce qui est agréable, mais commun en présence de données chronologiques.</t>
  </si>
  <si>
    <t xml:space="preserve"> - Celui de la constante est nettement moins bon, mais comme celle-ci n'a en la circonstance guère de signification économique,</t>
  </si>
  <si>
    <t xml:space="preserve"> - Le signe du coefficient de X (le PNB) est positif, ce qui est évidemment le sens attendu, et quant à sa valeur, elle permet de</t>
  </si>
  <si>
    <t xml:space="preserve">dire que selon ce modèle un accroissement d'un milliard de dollars du PNB (par exemple) se répercuterait en un accroissement </t>
  </si>
  <si>
    <t>de 0,58 milliards de dollars sur le total des salaires privés.</t>
  </si>
  <si>
    <t>MCO sur la fonction de salaires privés : Wpri = a + b.X + aléa (qu'on peut écrire simplement Wpri = a + b.X)</t>
  </si>
  <si>
    <t>MCO sur la fonction de salaires privés :  Wpri = a + b.Xlag</t>
  </si>
  <si>
    <t>le PNB courant est meilleur que le PNB de l'année précédente pour expliquer les salaires privés.</t>
  </si>
  <si>
    <t>On peut écrire ainsi la fonction de salaires privés estimée : WPRI = 0,583.X + 1,37</t>
  </si>
  <si>
    <t>Fonction  estimée : Wpri = 0,635.Xlag - 0,475</t>
  </si>
  <si>
    <t>Au vu de R comme des tests de significativité de X et Xlag, on peut dire que le premier modèle paraît meilleur que le second,</t>
  </si>
  <si>
    <t>(extraits des sorties Excel limités à ce qui est commenté)</t>
  </si>
  <si>
    <t>Le commentaire est pratiquement le même que précédemment.</t>
  </si>
  <si>
    <t>On peut faire les commentaires suivants :</t>
  </si>
  <si>
    <t xml:space="preserve"> - Le test (de Student) de significativité de la variable explicative X est très bon (largement supérieur à 2).</t>
  </si>
  <si>
    <t>cela n'est pas bien dérangeant.</t>
  </si>
  <si>
    <t>pi*xi</t>
  </si>
  <si>
    <t>pi*(xi-E(x))²</t>
  </si>
  <si>
    <t>L'espérance vaut 3,5.</t>
  </si>
  <si>
    <t>La variance vaut 2,9.</t>
  </si>
  <si>
    <t>Et l'écart-type, qui en est la racine carrée 1,7.</t>
  </si>
  <si>
    <t>Gain</t>
  </si>
  <si>
    <t>Proba</t>
  </si>
  <si>
    <t>Les probabilités étant de somme 1, la probabilité inconnue du gain 0</t>
  </si>
  <si>
    <t>est le complément à 1 de la somme des autres, soit 0,64.</t>
  </si>
  <si>
    <t>Les calculs suivent.</t>
  </si>
  <si>
    <t>L'espérance de gain du joueur est 5,5.</t>
  </si>
  <si>
    <t>Si le prix du billet est de 3, l'espérance de gain net est (5,5 - 3) soit 2,5</t>
  </si>
  <si>
    <t>le jeu est intéressant pour le joueur.</t>
  </si>
  <si>
    <t>À l'inverse, il est perdant pour l'organisateur de la loterie.</t>
  </si>
  <si>
    <t>Notons que les vraies loteries ont généralement une espérance de gain</t>
  </si>
  <si>
    <t>net négative pour le joueur. C'est l'agrément du rêve (notamment de gagner</t>
  </si>
  <si>
    <t>un gros lot) qui justifie qu'on paie pour y participer.</t>
  </si>
  <si>
    <t>Soit la va formalisant le jet d'un dé non "pipé" :</t>
  </si>
  <si>
    <t>Calculer son espérance, sa variance et son écart-type.</t>
  </si>
  <si>
    <t>Soit une loterie dont les gains ont les probabilités suivantes :</t>
  </si>
  <si>
    <t>?</t>
  </si>
  <si>
    <t>Compléter le tableau en indiquant la valeur manquante.</t>
  </si>
  <si>
    <t>Calculer l'espérance, la variance et l'écart-type du gain d'un joueur.</t>
  </si>
  <si>
    <t>Si le ticket est vendu trois euros, cette loterie est-elle intéressante pour le joueur ?</t>
  </si>
  <si>
    <t>Et pour l'organisateur ?</t>
  </si>
  <si>
    <t>Impossible d'actualiser le lien !</t>
  </si>
  <si>
    <t>Fichier :</t>
  </si>
  <si>
    <t>file:///C:/deaecodemo/corrige081.xls</t>
  </si>
  <si>
    <t>Feuille :</t>
  </si>
  <si>
    <t>Feuil1</t>
  </si>
  <si>
    <t>file:///C:/deaecodemo/corrige082.xls</t>
  </si>
  <si>
    <t>(d'après des données d'un exercice de Trudy Ann Cameron, UCLA)</t>
  </si>
  <si>
    <t>(11 points : 1/2/2/3/3)</t>
  </si>
  <si>
    <t>On dispose des variables suivantes, relevées pour une sélection de pays sur le site www.gapminder.org</t>
  </si>
  <si>
    <t>(les cases vides désignent des données manquantes - variable DEMO seulement)</t>
  </si>
  <si>
    <t>TMI</t>
  </si>
  <si>
    <t>le taux de mortalité infantile en 2005 (pour 1000)</t>
  </si>
  <si>
    <t>PNB/H</t>
  </si>
  <si>
    <t>le PNB annuel par habitant en 2005 (dollars)</t>
  </si>
  <si>
    <t>LP/H</t>
  </si>
  <si>
    <t>le logarithme de PNB/H</t>
  </si>
  <si>
    <t>TF</t>
  </si>
  <si>
    <t>le taux total de fertilité en 2005 (nombre théorique d'enfants par femme)</t>
  </si>
  <si>
    <t>TEF</t>
  </si>
  <si>
    <t>la part (taux) des femmes dans l'emploi total en 2005</t>
  </si>
  <si>
    <t>M/H</t>
  </si>
  <si>
    <t>le nombre de médecins pour 100.000 habitants en 2005</t>
  </si>
  <si>
    <t>TMM</t>
  </si>
  <si>
    <t>le taux de mortalité maternelle à la naissance en 2000 (pour 100.000)</t>
  </si>
  <si>
    <t>TM5</t>
  </si>
  <si>
    <t>le taux de mortalité avant 5 ans en 2005 (pour 1000)</t>
  </si>
  <si>
    <t>DS/H</t>
  </si>
  <si>
    <t>les dépenses annuelles de santé par habitant en 2005 (dollars)</t>
  </si>
  <si>
    <t>LD/H</t>
  </si>
  <si>
    <t>le logarithme de DS/H</t>
  </si>
  <si>
    <t>TDS</t>
  </si>
  <si>
    <t>la part (taux) des dépenses de santé dans le PNB en 2005</t>
  </si>
  <si>
    <t>DEMO</t>
  </si>
  <si>
    <t>un indicateur composite de démocratie en 2005</t>
  </si>
  <si>
    <t>On étudie les déterminants éventuels de la mortalité avant 5 ans (TM5).</t>
  </si>
  <si>
    <t>1°</t>
  </si>
  <si>
    <t>Calculer la moyenne, l'écart-type et le coefficient de variation des variables TM5, M/H et DS/H.</t>
  </si>
  <si>
    <t>(Le coefficient de variation est le rapport écart-type/moyenne, il permet de comparer la dispersion de séries de nature hétérogène)</t>
  </si>
  <si>
    <t>2°</t>
  </si>
  <si>
    <t>Examiner le graphique croisé LD/H x TM5 (on ne demande pas de le reproduire) et faire calculer la régression de TM5 sur LD/H.</t>
  </si>
  <si>
    <t>Écrire l'équation de la droite de régression obtenue (TM5 = a.LD/H + b).</t>
  </si>
  <si>
    <t>Indiquer le coefficient de corrélation.</t>
  </si>
  <si>
    <t>Examiner la pertinence de l'explicative LD/H avec le test de Student.</t>
  </si>
  <si>
    <t>Quel est le sens de l'influence de la variable LD/H sur le taux de mortalité avant 5 ans TM5 ?</t>
  </si>
  <si>
    <t>3°</t>
  </si>
  <si>
    <t>Examiner le graphique croisé M/H x TM5 (on ne demande pas de le reproduire) et faire calculer la régression de TM5 sur M/H.</t>
  </si>
  <si>
    <t>Écrire l'équation de la droite de régression obtenue (TM5 = a.M/H + b).</t>
  </si>
  <si>
    <t>Examiner la pertinence de l'explicative M/H avec le test de Student.</t>
  </si>
  <si>
    <t>Quel est le sens de l'influence de la variable M/H sur le taux de mortalité avant 5 ans TM5 ?</t>
  </si>
  <si>
    <t>4°</t>
  </si>
  <si>
    <t>Faire calculer la régression de TM5 sur TF, TEF et M/H et écrire l'expression obtenue (TM5 = a.TF + b.TEF + c.M/H + d).</t>
  </si>
  <si>
    <t>Indiquer le coefficient de corrélation multiple.</t>
  </si>
  <si>
    <t>Examiner la pertinence de chaque explicative avec le test de Student.</t>
  </si>
  <si>
    <t>Conseil : répondre simplement et précisément aux questions posées en utilisant les notations et numérotations de l'énoncé.</t>
  </si>
  <si>
    <t xml:space="preserve"> trois ans et croissent enfin de 3% pendant deux ans.</t>
  </si>
  <si>
    <t>Dans un certain pays, les prix croissent de 6% (par an) prendant deux ans, puis restent stables pendant un an, baissent de 2% pendant</t>
  </si>
  <si>
    <t>1° À quel prix en francs de décembre 1983 correspond un prix courant de 150 francs en janvier 1982 ?</t>
  </si>
  <si>
    <t>Pour les explicatives jugées pertinentes, indiquer le sens de son influence sur le taux de mortalité avant 5 ans et dire s'il paraît</t>
  </si>
  <si>
    <t>conforme à ce qu'on aurait attendu.</t>
  </si>
  <si>
    <t>On s'interroge à présent sur l'influence éventuelle de la variable DEMO.</t>
  </si>
  <si>
    <t>5°</t>
  </si>
  <si>
    <t>Certaines observations étant manquantes, ôter de l'échantillon de pays ceux pour lesquels cette variable n'est pas fournie.</t>
  </si>
  <si>
    <t>Faire calculer la régression de TM5 sur TF, M/H et DEMO et écrire l'équation obtenue (TM5 = a.TF + b.M/H + c.DEMO + d).</t>
  </si>
  <si>
    <t>Pour les explicatives jugées pertinentes, indiquer le sens de son influence sur le taux de mortalité avant 5 ans.</t>
  </si>
  <si>
    <t>Algeria</t>
  </si>
  <si>
    <t>140</t>
  </si>
  <si>
    <t>Angola</t>
  </si>
  <si>
    <t>1700</t>
  </si>
  <si>
    <t>Argentina</t>
  </si>
  <si>
    <t>82</t>
  </si>
  <si>
    <t>Armenia</t>
  </si>
  <si>
    <t>55</t>
  </si>
  <si>
    <t>Australia</t>
  </si>
  <si>
    <t>8</t>
  </si>
  <si>
    <t>Austria</t>
  </si>
  <si>
    <t>4</t>
  </si>
  <si>
    <t>Azerbaijan</t>
  </si>
  <si>
    <t>94</t>
  </si>
  <si>
    <t>Bangladesh</t>
  </si>
  <si>
    <t>380</t>
  </si>
  <si>
    <t>Belgium</t>
  </si>
  <si>
    <t>10</t>
  </si>
  <si>
    <t>Benin</t>
  </si>
  <si>
    <t>850</t>
  </si>
  <si>
    <t>Bolivia</t>
  </si>
  <si>
    <t>420</t>
  </si>
  <si>
    <t>Brazil</t>
  </si>
  <si>
    <t>260</t>
  </si>
  <si>
    <t>Bulgaria</t>
  </si>
  <si>
    <t>32</t>
  </si>
  <si>
    <t>Burkina Faso</t>
  </si>
  <si>
    <t>1000</t>
  </si>
  <si>
    <t>Cambodia</t>
  </si>
  <si>
    <t>450</t>
  </si>
  <si>
    <t>Cameroon</t>
  </si>
  <si>
    <t>730</t>
  </si>
  <si>
    <t>6</t>
  </si>
  <si>
    <t>Chad</t>
  </si>
  <si>
    <t>1100</t>
  </si>
  <si>
    <t>Chile</t>
  </si>
  <si>
    <t>31</t>
  </si>
  <si>
    <t>China</t>
  </si>
  <si>
    <t>56</t>
  </si>
  <si>
    <t>Colombia</t>
  </si>
  <si>
    <t>130</t>
  </si>
  <si>
    <t>Costa Rica</t>
  </si>
  <si>
    <t>43</t>
  </si>
  <si>
    <t>Cote d'Ivoire</t>
  </si>
  <si>
    <t>690</t>
  </si>
  <si>
    <t>Croatia</t>
  </si>
  <si>
    <t>Cuba</t>
  </si>
  <si>
    <t>33</t>
  </si>
  <si>
    <t>Czech Rep.</t>
  </si>
  <si>
    <t>9</t>
  </si>
  <si>
    <t>Denmark</t>
  </si>
  <si>
    <t>5</t>
  </si>
  <si>
    <t>Djibouti</t>
  </si>
  <si>
    <t>Ecuador</t>
  </si>
  <si>
    <t>Egypt</t>
  </si>
  <si>
    <t>84</t>
  </si>
  <si>
    <t>Ethiopia</t>
  </si>
  <si>
    <t>Finland</t>
  </si>
  <si>
    <t>17</t>
  </si>
  <si>
    <t>Germany</t>
  </si>
  <si>
    <t>Ghana</t>
  </si>
  <si>
    <t>540</t>
  </si>
  <si>
    <t>Greece</t>
  </si>
  <si>
    <t>Haiti</t>
  </si>
  <si>
    <t>680</t>
  </si>
  <si>
    <t>..</t>
  </si>
  <si>
    <t>Hungary</t>
  </si>
  <si>
    <t>Iceland</t>
  </si>
  <si>
    <t>0</t>
  </si>
  <si>
    <t>India</t>
  </si>
  <si>
    <t>Indonesia</t>
  </si>
  <si>
    <t>230</t>
  </si>
  <si>
    <t>Iran</t>
  </si>
  <si>
    <t>76</t>
  </si>
  <si>
    <t>Ireland</t>
  </si>
  <si>
    <t>Israel</t>
  </si>
  <si>
    <t>Italy</t>
  </si>
  <si>
    <t>Jamaica</t>
  </si>
  <si>
    <t>87</t>
  </si>
  <si>
    <t>Japan</t>
  </si>
  <si>
    <t>Kazakhstan</t>
  </si>
  <si>
    <t>210</t>
  </si>
  <si>
    <t>Kenya</t>
  </si>
  <si>
    <t>Korea, Rep.</t>
  </si>
  <si>
    <t>20</t>
  </si>
  <si>
    <t>Kuwait</t>
  </si>
  <si>
    <t>Lebanon</t>
  </si>
  <si>
    <t>150</t>
  </si>
  <si>
    <t>Lesotho</t>
  </si>
  <si>
    <t>550</t>
  </si>
  <si>
    <t>Liberia</t>
  </si>
  <si>
    <t>760</t>
  </si>
  <si>
    <t>Libya</t>
  </si>
  <si>
    <t>97</t>
  </si>
  <si>
    <t>Macedonia</t>
  </si>
  <si>
    <t>23</t>
  </si>
  <si>
    <t>Madagascar</t>
  </si>
  <si>
    <t>Mauritania</t>
  </si>
  <si>
    <t>Mauritius</t>
  </si>
  <si>
    <t>24</t>
  </si>
  <si>
    <t>Mexico</t>
  </si>
  <si>
    <t>83</t>
  </si>
  <si>
    <t>Morocco</t>
  </si>
  <si>
    <t>220</t>
  </si>
  <si>
    <t>Mozambique</t>
  </si>
  <si>
    <t>Myanmar</t>
  </si>
  <si>
    <t>360</t>
  </si>
  <si>
    <t>Namibia</t>
  </si>
  <si>
    <t>300</t>
  </si>
  <si>
    <t>Netherlands</t>
  </si>
  <si>
    <t>16</t>
  </si>
  <si>
    <t>New Zealand</t>
  </si>
  <si>
    <t>7</t>
  </si>
  <si>
    <t>Nicaragua</t>
  </si>
  <si>
    <t>Niger</t>
  </si>
  <si>
    <t>1600</t>
  </si>
  <si>
    <t>800</t>
  </si>
  <si>
    <t>Norway</t>
  </si>
  <si>
    <t>Pakistan</t>
  </si>
  <si>
    <t>500</t>
  </si>
  <si>
    <t>Panama</t>
  </si>
  <si>
    <t>160</t>
  </si>
  <si>
    <t>Paraguay</t>
  </si>
  <si>
    <t>170</t>
  </si>
  <si>
    <t>Peru</t>
  </si>
  <si>
    <t>410</t>
  </si>
  <si>
    <t>Poland</t>
  </si>
  <si>
    <t>13</t>
  </si>
  <si>
    <t>Romania</t>
  </si>
  <si>
    <t>49</t>
  </si>
  <si>
    <t>Russia</t>
  </si>
  <si>
    <t>67</t>
  </si>
  <si>
    <t>Saudia</t>
  </si>
  <si>
    <t>Senegal</t>
  </si>
  <si>
    <t>Sierra Leone</t>
  </si>
  <si>
    <t>2000</t>
  </si>
  <si>
    <t>Singapore</t>
  </si>
  <si>
    <t>30</t>
  </si>
  <si>
    <t>Slovak Republic</t>
  </si>
  <si>
    <t>3</t>
  </si>
  <si>
    <t>South Africa</t>
  </si>
  <si>
    <t>Spain</t>
  </si>
  <si>
    <t>Sri Lanka</t>
  </si>
  <si>
    <t>92</t>
  </si>
  <si>
    <t>Sudan</t>
  </si>
  <si>
    <t>590</t>
  </si>
  <si>
    <t>Sweden</t>
  </si>
  <si>
    <t>2</t>
  </si>
  <si>
    <t>Switzerland</t>
  </si>
  <si>
    <t>Syria</t>
  </si>
  <si>
    <t>Tanzania</t>
  </si>
  <si>
    <t>1500</t>
  </si>
  <si>
    <t>Thailand</t>
  </si>
  <si>
    <t>44</t>
  </si>
  <si>
    <t>Tunisia</t>
  </si>
  <si>
    <t>120</t>
  </si>
  <si>
    <t>Turkey</t>
  </si>
  <si>
    <t>70</t>
  </si>
  <si>
    <t>United Kingdom</t>
  </si>
  <si>
    <t>United States</t>
  </si>
  <si>
    <t>Uruguay</t>
  </si>
  <si>
    <t>27</t>
  </si>
  <si>
    <t>Venezuela</t>
  </si>
  <si>
    <t>96</t>
  </si>
  <si>
    <t>Vietnam</t>
  </si>
  <si>
    <t>Zambia</t>
  </si>
  <si>
    <t>750</t>
  </si>
  <si>
    <t>Zimbabwe</t>
  </si>
  <si>
    <t>Moy</t>
  </si>
  <si>
    <t>écart-type</t>
  </si>
  <si>
    <t>Coefficient R</t>
  </si>
  <si>
    <t>Excel n'affiche pas le signe !</t>
  </si>
  <si>
    <t>(sans signe en cas de régression multiple)</t>
  </si>
  <si>
    <t xml:space="preserve">   effet positif (aggravant la mortalité infantile)</t>
  </si>
  <si>
    <t xml:space="preserve">   non significatif</t>
  </si>
  <si>
    <t xml:space="preserve">   effet négatif (favorable)</t>
  </si>
  <si>
    <t xml:space="preserve">   effet positif (aggravant)</t>
  </si>
  <si>
    <t>Ventes d'automobiles en France janvier-juin 2005</t>
  </si>
  <si>
    <t xml:space="preserve">Groupe </t>
  </si>
  <si>
    <t xml:space="preserve">Ventes </t>
  </si>
  <si>
    <t>V,cumulées</t>
  </si>
  <si>
    <t xml:space="preserve">Comp. 2004 </t>
  </si>
  <si>
    <t>Part de marché</t>
  </si>
  <si>
    <t>P,cumulées</t>
  </si>
  <si>
    <t xml:space="preserve">1. PSA Peugeot Citroën </t>
  </si>
  <si>
    <t xml:space="preserve">2. Renault </t>
  </si>
  <si>
    <t xml:space="preserve">3. Volkswagen </t>
  </si>
  <si>
    <t xml:space="preserve">4. Ford </t>
  </si>
  <si>
    <t xml:space="preserve">5. General Motors </t>
  </si>
  <si>
    <t xml:space="preserve">6. Toyota </t>
  </si>
  <si>
    <t xml:space="preserve">7. Daimler-Chrysler </t>
  </si>
  <si>
    <t xml:space="preserve">8. Fiat </t>
  </si>
  <si>
    <t xml:space="preserve">9. BMW </t>
  </si>
  <si>
    <t xml:space="preserve">10. Nissan </t>
  </si>
  <si>
    <t xml:space="preserve">11. Hyundaï </t>
  </si>
  <si>
    <t>12, Autres</t>
  </si>
  <si>
    <t xml:space="preserve">MARCHÉ </t>
  </si>
  <si>
    <t>Parti</t>
  </si>
  <si>
    <t>LCR</t>
  </si>
  <si>
    <t>PC</t>
  </si>
  <si>
    <t>PS</t>
  </si>
  <si>
    <t>UDF</t>
  </si>
  <si>
    <t>UMP</t>
  </si>
  <si>
    <t>FN</t>
  </si>
  <si>
    <t>Total</t>
  </si>
  <si>
    <t>Village 1</t>
  </si>
  <si>
    <t>Village 2</t>
  </si>
  <si>
    <t>Village 3</t>
  </si>
  <si>
    <t>Entreprise</t>
  </si>
  <si>
    <t>CA</t>
  </si>
  <si>
    <t>Bénéfice</t>
  </si>
  <si>
    <t>Nb d'enfants</t>
  </si>
  <si>
    <t>n(i)</t>
  </si>
  <si>
    <t>f(i)</t>
  </si>
  <si>
    <t>fc(i)</t>
  </si>
  <si>
    <t>f(i)*x(i)</t>
  </si>
  <si>
    <t>A</t>
  </si>
  <si>
    <t>B</t>
  </si>
  <si>
    <t>C</t>
  </si>
  <si>
    <t>D</t>
  </si>
  <si>
    <t>E</t>
  </si>
  <si>
    <t>4 et plus</t>
  </si>
  <si>
    <t>lar(i)</t>
  </si>
  <si>
    <t>fr(i)</t>
  </si>
  <si>
    <t>x(i)</t>
  </si>
  <si>
    <t>0 à 100</t>
  </si>
  <si>
    <t>100 à 200</t>
  </si>
  <si>
    <t>200 à 250</t>
  </si>
  <si>
    <t>250 à 300</t>
  </si>
  <si>
    <t>300 à 400</t>
  </si>
  <si>
    <t>400 à 600</t>
  </si>
  <si>
    <t>600 à 1000</t>
  </si>
  <si>
    <t>Effectif n(i)</t>
  </si>
  <si>
    <t>Niveau de vie moyen des individus selon leur âge</t>
  </si>
  <si>
    <t xml:space="preserve">18 à 29 ans </t>
  </si>
  <si>
    <t>30 à 39 ans</t>
  </si>
  <si>
    <t>40 à 49 ans</t>
  </si>
  <si>
    <t>50 à 59 ans</t>
  </si>
  <si>
    <t>60 à 69 ans</t>
  </si>
  <si>
    <t>70 ans et plus</t>
  </si>
  <si>
    <t>moins de 18 ans</t>
  </si>
  <si>
    <t>18 à 59 ans</t>
  </si>
  <si>
    <t>60 ans et plus</t>
  </si>
  <si>
    <t>ensemble de la population</t>
  </si>
  <si>
    <t>en €-2003 par an</t>
  </si>
  <si>
    <t>Population (en %)</t>
  </si>
  <si>
    <t>Femmes</t>
  </si>
  <si>
    <t>Hommes</t>
  </si>
  <si>
    <t>Moins de 15 ans</t>
  </si>
  <si>
    <t>15-24 ans</t>
  </si>
  <si>
    <t>25-34 ans</t>
  </si>
  <si>
    <t>35-44 ans</t>
  </si>
  <si>
    <t>45-54 ans</t>
  </si>
  <si>
    <t>55-64 ans</t>
  </si>
  <si>
    <t>65-74 ans</t>
  </si>
  <si>
    <t>75 ans ou plus</t>
  </si>
  <si>
    <t>Ensemble</t>
  </si>
  <si>
    <t>Remarque : ces données en pourcentage ignorent le rapport H-F</t>
  </si>
  <si>
    <t>Calcul auxiliaire</t>
  </si>
  <si>
    <t>2005 (p)</t>
  </si>
  <si>
    <t xml:space="preserve">Salaires  nets annuels </t>
  </si>
  <si>
    <t>Pop, 2002</t>
  </si>
  <si>
    <t>%</t>
  </si>
  <si>
    <t>Cadres *</t>
  </si>
  <si>
    <t>Prof,inter,</t>
  </si>
  <si>
    <t>Employes</t>
  </si>
  <si>
    <t>Ouvriers</t>
  </si>
  <si>
    <t>Alsace</t>
  </si>
  <si>
    <t>Aquitaine</t>
  </si>
  <si>
    <t>Auvergne</t>
  </si>
  <si>
    <t>Basse-Normandie</t>
  </si>
  <si>
    <t>Bourgogne</t>
  </si>
  <si>
    <t>Bretagne</t>
  </si>
  <si>
    <t>Centre</t>
  </si>
  <si>
    <t>Champagne-Ardenne</t>
  </si>
  <si>
    <t>Corse</t>
  </si>
  <si>
    <t>Franche-Comte</t>
  </si>
  <si>
    <t>Haute-Normandie</t>
  </si>
  <si>
    <t>Ile-de-France</t>
  </si>
  <si>
    <t>Languedoc-Roussillon</t>
  </si>
  <si>
    <t>Limousin</t>
  </si>
  <si>
    <t>Lorraine</t>
  </si>
  <si>
    <t>Midi-Pyrenees</t>
  </si>
  <si>
    <t>Nord-Pas-de-Calais</t>
  </si>
  <si>
    <t>Pays de la Loire</t>
  </si>
  <si>
    <t>Picardie</t>
  </si>
  <si>
    <t>Poitou-Charentes</t>
  </si>
  <si>
    <t>Provence-Alpes-Cote d'Azur</t>
  </si>
  <si>
    <t>Rhone-Alpes</t>
  </si>
  <si>
    <t>Metropole</t>
  </si>
  <si>
    <t>Guadeloupe</t>
  </si>
  <si>
    <t>Guyane</t>
  </si>
  <si>
    <t>Martinique</t>
  </si>
  <si>
    <t>Reunion</t>
  </si>
  <si>
    <t>France</t>
  </si>
  <si>
    <t>Revenu fiscal des ménages en 1979 selon la CSP du chef de ménage</t>
  </si>
  <si>
    <t>cadres supérieurs et ouvriers - milliers de francs - pourcentages</t>
  </si>
  <si>
    <t>de</t>
  </si>
  <si>
    <t>à moins de</t>
  </si>
  <si>
    <t>Cadres sup,</t>
  </si>
  <si>
    <t>On conviendra que les revenus ne dépassent pas 300 MF</t>
  </si>
  <si>
    <t>Fréquences "rectifiées" (base L=10)</t>
  </si>
  <si>
    <t>largeur</t>
  </si>
  <si>
    <t>Cumulées</t>
  </si>
  <si>
    <t>CSRect,</t>
  </si>
  <si>
    <t>Orect,</t>
  </si>
  <si>
    <t>Salaires annuels nets du privé et semi-public en 1980 (francs 81)</t>
  </si>
  <si>
    <t>Classe</t>
  </si>
  <si>
    <t>Fréquence</t>
  </si>
  <si>
    <t>[0; 30,000[</t>
  </si>
  <si>
    <t>[30,000;36,000[</t>
  </si>
  <si>
    <t>[36,000;40,000[</t>
  </si>
  <si>
    <t>[40,000;50,000[</t>
  </si>
  <si>
    <t>[50,000;60,000[</t>
  </si>
  <si>
    <t>[60,000;80,000[</t>
  </si>
  <si>
    <t>[80,000;90,000[</t>
  </si>
  <si>
    <t>[90,000;200,000[</t>
  </si>
  <si>
    <t>Superficie des exploitations d'une région (hectares)</t>
  </si>
  <si>
    <t xml:space="preserve">De </t>
  </si>
  <si>
    <t>Nb</t>
  </si>
  <si>
    <t>et au-delà</t>
  </si>
  <si>
    <t>Calculer</t>
  </si>
  <si>
    <t>les fréquences</t>
  </si>
  <si>
    <t>ou</t>
  </si>
  <si>
    <t>les fréquences cumulées</t>
  </si>
  <si>
    <t>déterminer</t>
  </si>
  <si>
    <t>les fréquences rectifiées</t>
  </si>
  <si>
    <t>la classe modale</t>
  </si>
  <si>
    <t>la classe médiane</t>
  </si>
  <si>
    <t>la moyenne</t>
  </si>
  <si>
    <t>la variance</t>
  </si>
  <si>
    <t>l'écart-type</t>
  </si>
  <si>
    <t>le coefficient de variation</t>
  </si>
  <si>
    <t>l'indice de concentration</t>
  </si>
  <si>
    <t>Contruire</t>
  </si>
  <si>
    <t>le diagramme des fréquences (rectifiées !)</t>
  </si>
  <si>
    <t>le diagramme des fréquences cumulées</t>
  </si>
  <si>
    <t>la "courbe" de concentration</t>
  </si>
  <si>
    <t>Enfants par famille d'un village</t>
  </si>
  <si>
    <t>Nb enfants</t>
  </si>
  <si>
    <t>Nb familles</t>
  </si>
  <si>
    <t>Plus de 6</t>
  </si>
  <si>
    <t>calculer</t>
  </si>
  <si>
    <t>le nombre moyen d'enfants par famille</t>
  </si>
  <si>
    <t>la notion de concentration a-t-elle un sens sur ces données ?</t>
  </si>
  <si>
    <t>construire la courbe de concentration</t>
  </si>
  <si>
    <t>CA quotidien d'une grande surface (en milliers d'euros)</t>
  </si>
  <si>
    <t>Jour</t>
  </si>
  <si>
    <t>C.A.</t>
  </si>
  <si>
    <t>Exercice</t>
  </si>
  <si>
    <t>Calculer moyenne, médiane, écart-type et coefficient de variation (ie écart-type/moyenne)</t>
  </si>
  <si>
    <t>Relevés de vitesse sur une nationale</t>
  </si>
  <si>
    <t>Vitesse en km/h</t>
  </si>
  <si>
    <t>[40 ; 60[</t>
  </si>
  <si>
    <t>[60 ; 70[</t>
  </si>
  <si>
    <t>[70 ; 80[</t>
  </si>
  <si>
    <t>[80 ; 85[</t>
  </si>
  <si>
    <t>[85 ; 90[</t>
  </si>
  <si>
    <t>[90 ; 95[</t>
  </si>
  <si>
    <t>[95 ; 100[</t>
  </si>
  <si>
    <t>[100 ; 110[</t>
  </si>
  <si>
    <t>[110 ; 120[</t>
  </si>
  <si>
    <t>[120 ; 130[</t>
  </si>
  <si>
    <t>[130 ; 140[</t>
  </si>
  <si>
    <t>Effectif</t>
  </si>
  <si>
    <t>Calculer les fréquences</t>
  </si>
  <si>
    <t>Calculez les fréquences cumulées</t>
  </si>
  <si>
    <t>Calculer les fréquences rectifiées</t>
  </si>
  <si>
    <t>Faire un diagramme</t>
  </si>
  <si>
    <t>Calculer la moyenne</t>
  </si>
  <si>
    <t>Calculer l'écart-tpe</t>
  </si>
  <si>
    <t>Indiquer la classe modale</t>
  </si>
  <si>
    <t>Indiquer la classe médiane</t>
  </si>
  <si>
    <t>Tableau des notes</t>
  </si>
  <si>
    <t>*</t>
  </si>
  <si>
    <t>Français</t>
  </si>
  <si>
    <t>Anglais</t>
  </si>
  <si>
    <t>Maths</t>
  </si>
  <si>
    <t>Moyenne</t>
  </si>
  <si>
    <t>Catherine</t>
  </si>
  <si>
    <t>Claire</t>
  </si>
  <si>
    <t>François</t>
  </si>
  <si>
    <t>Gabriel</t>
  </si>
  <si>
    <t>Henri</t>
  </si>
  <si>
    <t>Karim</t>
  </si>
  <si>
    <t>Karine</t>
  </si>
  <si>
    <t>Marie</t>
  </si>
  <si>
    <t>Marine</t>
  </si>
  <si>
    <t>Rachel</t>
  </si>
  <si>
    <t>Roger</t>
  </si>
  <si>
    <t>Stéphane</t>
  </si>
  <si>
    <t>Écart-type</t>
  </si>
  <si>
    <t>On a calculé la moyenne par étudiant avec les coefficients 1, 2 et 3 pour le français, l'anglais et les mathémétiques respectivement.</t>
  </si>
  <si>
    <t>Ecart-type</t>
  </si>
  <si>
    <t>Ex 1</t>
  </si>
  <si>
    <t>La solution de ce genre de problème ne demande que de savoir que V = D/T</t>
  </si>
  <si>
    <t>où D est la distance parcourue, T le temps nécessaire et V la vitesse</t>
  </si>
  <si>
    <t>(en des unités naturellement coordonnées).</t>
  </si>
  <si>
    <t>Cela équivaut à D = V*T et à T = D/V.</t>
  </si>
  <si>
    <t>Trajet</t>
  </si>
  <si>
    <t>Ti</t>
  </si>
  <si>
    <t>Vi</t>
  </si>
  <si>
    <t>Di</t>
  </si>
  <si>
    <t>Unité</t>
  </si>
  <si>
    <t>(heure)</t>
  </si>
  <si>
    <t>(km/h)</t>
  </si>
  <si>
    <t>(km)</t>
  </si>
  <si>
    <t>Et V = D/T  soit :</t>
  </si>
  <si>
    <t>km/h</t>
  </si>
  <si>
    <t>L'utilisation de la fonction "moyenne" d'Excel aurait donné la moyenne</t>
  </si>
  <si>
    <t>arithmétique des trois vitesses indiquées, sans rapport avec la</t>
  </si>
  <si>
    <t>question posée.</t>
  </si>
  <si>
    <t>Ex 2</t>
  </si>
  <si>
    <t>Et V = D/T soit :</t>
  </si>
  <si>
    <t>Ex 3</t>
  </si>
  <si>
    <t>L'idée est la même que précédemment, mais la relation de base est à présent</t>
  </si>
  <si>
    <t>S$ = S€ * Tx$/€ où S$ et S€ désignent les montants en dollars et en euros et</t>
  </si>
  <si>
    <t>Tx$/€ le taux de change en dollar par euro lors d'une opération.</t>
  </si>
  <si>
    <t>Opération</t>
  </si>
  <si>
    <t>S€i</t>
  </si>
  <si>
    <t>S$i</t>
  </si>
  <si>
    <t>Tx$/€</t>
  </si>
  <si>
    <t>(euro)</t>
  </si>
  <si>
    <t>(dollar)</t>
  </si>
  <si>
    <t>($ par €)</t>
  </si>
  <si>
    <t>On laisse le lecteur compléter le tableau et finir l'exercice.</t>
  </si>
  <si>
    <t>(La réponse finale est Tx$/€ = 1,33$/€)</t>
  </si>
  <si>
    <t>Exercices destinés à montrer que la notion de moyenne n'appelle pas automatiquement le calcul d'une moyenne aritmétique</t>
  </si>
  <si>
    <t>Ex 1 : un automobilite roule :</t>
  </si>
  <si>
    <t xml:space="preserve"> - pendant 1 heure à 100 km/h</t>
  </si>
  <si>
    <t xml:space="preserve"> - pendant deux heures à 75 km/h</t>
  </si>
  <si>
    <t xml:space="preserve"> - pendant une demi-heure à 30 km/h.</t>
  </si>
  <si>
    <t>Calculer la vitesse moyenne sur l'ensemble du parcours.</t>
  </si>
  <si>
    <t>Ex 2 : un cycliste roule :</t>
  </si>
  <si>
    <t xml:space="preserve"> - pendant 20 km à 40 km/h</t>
  </si>
  <si>
    <t xml:space="preserve"> - pendant 10 km à 50 km/h</t>
  </si>
  <si>
    <t xml:space="preserve"> - pendant 15 km à 20 km/h.</t>
  </si>
  <si>
    <t>Ex 3 : un européen voyageant en Amérique fait les opérations de change suivantes</t>
  </si>
  <si>
    <t xml:space="preserve"> - il change 400 € au taux de 1,40 $/€</t>
  </si>
  <si>
    <t xml:space="preserve"> - il change 500 € et obtient 650 $</t>
  </si>
  <si>
    <t xml:space="preserve"> - il change une dernière somme et obtient 800 $ au taux de 1,30 $/€..</t>
  </si>
  <si>
    <t>Calculer le taux de change moyen (c'est à dire de même effet global) pour l'ensemble des opérations.</t>
  </si>
  <si>
    <t>Démographie  française</t>
  </si>
  <si>
    <t>(Source INSEE)</t>
  </si>
  <si>
    <t>Année</t>
  </si>
  <si>
    <t>Population</t>
  </si>
  <si>
    <t>Pop./100</t>
  </si>
  <si>
    <t>Naiss.</t>
  </si>
  <si>
    <t>Décès</t>
  </si>
  <si>
    <t>Solde</t>
  </si>
  <si>
    <t>Migr.</t>
  </si>
  <si>
    <t>Tx de nat.</t>
  </si>
  <si>
    <t>Tx de mort.</t>
  </si>
  <si>
    <t>Accr.Nat.</t>
  </si>
  <si>
    <t>14,9</t>
  </si>
  <si>
    <t>10,2</t>
  </si>
  <si>
    <t>+4,6</t>
  </si>
  <si>
    <t>+5,7</t>
  </si>
  <si>
    <t>14,6</t>
  </si>
  <si>
    <t>10,0</t>
  </si>
  <si>
    <t>+5,8</t>
  </si>
  <si>
    <t>13,7</t>
  </si>
  <si>
    <t>+3,5</t>
  </si>
  <si>
    <t>+4,5</t>
  </si>
  <si>
    <t>13,8</t>
  </si>
  <si>
    <t>9,9</t>
  </si>
  <si>
    <t>+3,9</t>
  </si>
  <si>
    <t>+4,8</t>
  </si>
  <si>
    <t>13,9</t>
  </si>
  <si>
    <t>14,0</t>
  </si>
  <si>
    <t>9,8</t>
  </si>
  <si>
    <t>+4,2</t>
  </si>
  <si>
    <t>+4,9</t>
  </si>
  <si>
    <t>9,4</t>
  </si>
  <si>
    <t>+4,4</t>
  </si>
  <si>
    <t>+5,1</t>
  </si>
  <si>
    <t>9,3</t>
  </si>
  <si>
    <t>+5,4</t>
  </si>
  <si>
    <t>13,6</t>
  </si>
  <si>
    <t>13,4</t>
  </si>
  <si>
    <t>+4,1</t>
  </si>
  <si>
    <t>+5,6</t>
  </si>
  <si>
    <t>13,3</t>
  </si>
  <si>
    <t>9,2</t>
  </si>
  <si>
    <t>+5,5</t>
  </si>
  <si>
    <t>13,0</t>
  </si>
  <si>
    <t>9,1</t>
  </si>
  <si>
    <t>12,3</t>
  </si>
  <si>
    <t>+3,1</t>
  </si>
  <si>
    <t>+4,3</t>
  </si>
  <si>
    <t>9,0</t>
  </si>
  <si>
    <t>+3,3</t>
  </si>
  <si>
    <t>12,5</t>
  </si>
  <si>
    <t>+3,4</t>
  </si>
  <si>
    <t>12,6</t>
  </si>
  <si>
    <t>Annés</t>
  </si>
  <si>
    <t>bénéfice</t>
  </si>
  <si>
    <t>Magasins</t>
  </si>
  <si>
    <t>Alimentation</t>
  </si>
  <si>
    <t>Habillement</t>
  </si>
  <si>
    <t>Divers</t>
  </si>
  <si>
    <t>Société A</t>
  </si>
  <si>
    <t>Société B</t>
  </si>
  <si>
    <t>Société C</t>
  </si>
  <si>
    <t>Société D</t>
  </si>
  <si>
    <t>Données pour le calcul d'indices de prix alimentaires</t>
  </si>
  <si>
    <t>(unités convenables et cohérentes)</t>
  </si>
  <si>
    <t>Produit</t>
  </si>
  <si>
    <t>q0</t>
  </si>
  <si>
    <t>p0</t>
  </si>
  <si>
    <t>q1</t>
  </si>
  <si>
    <t>p1</t>
  </si>
  <si>
    <t>pain</t>
  </si>
  <si>
    <t>légumes</t>
  </si>
  <si>
    <t>fruits</t>
  </si>
  <si>
    <t>viande</t>
  </si>
  <si>
    <t>vin</t>
  </si>
  <si>
    <t>Calculer les indices de Laspeyres et de Paasche 1 base 0</t>
  </si>
  <si>
    <t>Calcul de l'évolution du salaire réel</t>
  </si>
  <si>
    <t>Salaire €</t>
  </si>
  <si>
    <t>Indice %</t>
  </si>
  <si>
    <t>(Indices base 98)</t>
  </si>
  <si>
    <t>Indice de prix des boissons dans les cafés</t>
  </si>
  <si>
    <t>Café</t>
  </si>
  <si>
    <t>Demi</t>
  </si>
  <si>
    <t>Verre de vin</t>
  </si>
  <si>
    <t>Menthe à l'eau</t>
  </si>
  <si>
    <t>Jus de fruit</t>
  </si>
  <si>
    <t>Laspeyres et Paasche</t>
  </si>
  <si>
    <t>Inflation américaine et japonaise</t>
  </si>
  <si>
    <t>USA</t>
  </si>
  <si>
    <t>Japon</t>
  </si>
  <si>
    <t>Population métropolitaine (en milliers)</t>
  </si>
  <si>
    <t>Pop</t>
  </si>
  <si>
    <r>
      <t>On indique la hausse annuelle des prix en France (du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janvier au 31 décembre) pour les années 1982 à 1986 :</t>
    </r>
  </si>
  <si>
    <t>Hausse</t>
  </si>
  <si>
    <t>2° Calculer l'indice d'évolution des prix du début janvier 1983 à la fin décembre 1986.</t>
  </si>
  <si>
    <t xml:space="preserve">3° Quelle hausse annuelle moyenne aurait eu le même effet sur cette période de quatre ans ? </t>
  </si>
  <si>
    <t>(on rappelle qu'on peut obtenir la racine quatrième d'un nombre en prenant "deux fois de suite" sa racine carrée)</t>
  </si>
  <si>
    <t>Exploitations agricoles</t>
  </si>
  <si>
    <t>Salaires d'une entreprise</t>
  </si>
  <si>
    <t>Surface</t>
  </si>
  <si>
    <t>ni</t>
  </si>
  <si>
    <t>Salaire</t>
  </si>
  <si>
    <t>]</t>
  </si>
  <si>
    <t>,</t>
  </si>
  <si>
    <t>&lt;</t>
  </si>
  <si>
    <t>x</t>
  </si>
  <si>
    <t>&lt;=</t>
  </si>
  <si>
    <t>Calculer les fréquences, les fréquences corrigées - ou</t>
  </si>
  <si>
    <t>rectifiées si nécessaire -, et les fréquences cumulées</t>
  </si>
  <si>
    <t>et les figurer graphiquement,</t>
  </si>
  <si>
    <t>Et calculer les  moyennes, variances et écart-types en</t>
  </si>
  <si>
    <t>utilisant la valeur centrale pour chaque intervalle.</t>
  </si>
  <si>
    <t>fi</t>
  </si>
  <si>
    <t>fci</t>
  </si>
  <si>
    <t>li</t>
  </si>
  <si>
    <t>mi</t>
  </si>
  <si>
    <t>fri</t>
  </si>
  <si>
    <t>xi</t>
  </si>
  <si>
    <t>fi*xi</t>
  </si>
  <si>
    <t>xi-moy</t>
  </si>
  <si>
    <t>(xi-moy)^2</t>
  </si>
  <si>
    <t>fi*(xi-moy)^2</t>
  </si>
  <si>
    <t>Variance</t>
  </si>
  <si>
    <t>Concentration</t>
  </si>
  <si>
    <t>Distribution des salaires de deux entreprises</t>
  </si>
  <si>
    <t>centre</t>
  </si>
  <si>
    <t>eff A</t>
  </si>
  <si>
    <t>eff B</t>
  </si>
  <si>
    <t>fr A</t>
  </si>
  <si>
    <t>fc A</t>
  </si>
  <si>
    <t>sal tot A</t>
  </si>
  <si>
    <t>tcum A</t>
  </si>
  <si>
    <t>totc rel A</t>
  </si>
  <si>
    <t>Ind</t>
  </si>
  <si>
    <t>fr B</t>
  </si>
  <si>
    <t>fc B</t>
  </si>
  <si>
    <t>sal tot B</t>
  </si>
  <si>
    <t>tcum B</t>
  </si>
  <si>
    <t>totc rel B</t>
  </si>
  <si>
    <t>total</t>
  </si>
  <si>
    <t>Indice A</t>
  </si>
  <si>
    <t>Indice B</t>
  </si>
  <si>
    <t>Contrôle</t>
  </si>
  <si>
    <t>Veuillez respecter les notations et numérotations de l'énoncé.</t>
  </si>
  <si>
    <t>I</t>
  </si>
  <si>
    <t>Un sondage a été effectué auprès de 910 personnes pour mesurer la popularité d'un homme politique.</t>
  </si>
  <si>
    <t>480 personnes interrogées ont exprimé une opinion favorable dans le sondage.</t>
  </si>
  <si>
    <t>Donner un intervalle de confiance au risque 5% pour sa popularité dans l'ensemble de la population.</t>
  </si>
  <si>
    <t>II</t>
  </si>
  <si>
    <t>On veut construire un indice synthétique des prix alimentaires, on fixe les quantités définissant le panier</t>
  </si>
  <si>
    <t>en période initiale et on donne les prix unitaires en périodes 0 (initiale), 1 et 2.</t>
  </si>
  <si>
    <t>Quantité 0</t>
  </si>
  <si>
    <t xml:space="preserve">Prix 0 </t>
  </si>
  <si>
    <t>Prix 1</t>
  </si>
  <si>
    <t>Prix 2</t>
  </si>
  <si>
    <t>Pain</t>
  </si>
  <si>
    <t>Viande</t>
  </si>
  <si>
    <t>Légume</t>
  </si>
  <si>
    <t>Fruit</t>
  </si>
  <si>
    <t>Vin</t>
  </si>
  <si>
    <t>1° Calculer les indices de Laspeyres I(1/0) et I(2/0).</t>
  </si>
  <si>
    <t>2° Donner une estimation de l'évolution des prix alimentaires de la période 1 à la période 2.</t>
  </si>
  <si>
    <t>3° Combien coûtait approximativement en période 1 un repas de 10 € en période 2 ?</t>
  </si>
  <si>
    <t>III</t>
  </si>
  <si>
    <t>On dispose des données suivantes concernant 40 salariés, 20 hommes et 20 femmes :</t>
  </si>
  <si>
    <t>SAL</t>
  </si>
  <si>
    <t>le salaire mensuel (€)</t>
  </si>
  <si>
    <t>SEXE</t>
  </si>
  <si>
    <t>le sexe (homme = 0 , femme = 1)</t>
  </si>
  <si>
    <t>ED</t>
  </si>
  <si>
    <t>le nombre d'années d'études</t>
  </si>
  <si>
    <t>AGE</t>
  </si>
  <si>
    <t>l'âge</t>
  </si>
  <si>
    <t>1° Calculer la moyenne et l'écart-type du salaire, du nombre d'années d'étude et de l'âge pour l'ensemble de la population.</t>
  </si>
  <si>
    <t>2° Reprendre la question précédente pour chacun des deux sexes.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</si>
</sst>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%"/>
    <numFmt numFmtId="167" formatCode="0.0000"/>
    <numFmt numFmtId="168" formatCode="0.0000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Courier New"/>
      <family val="3"/>
    </font>
    <font>
      <b/>
      <u val="single"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.75"/>
      <color indexed="8"/>
      <name val="Arial"/>
      <family val="2"/>
    </font>
    <font>
      <b/>
      <sz val="19.75"/>
      <color indexed="8"/>
      <name val="Arial"/>
      <family val="2"/>
    </font>
    <font>
      <sz val="16.5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MS Serif"/>
      <family val="1"/>
    </font>
    <font>
      <sz val="10.25"/>
      <color indexed="8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641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10" fontId="0" fillId="0" borderId="17" xfId="0" applyNumberForma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10" fontId="0" fillId="0" borderId="19" xfId="0" applyNumberForma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0" fontId="0" fillId="0" borderId="21" xfId="0" applyNumberForma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0" fontId="0" fillId="0" borderId="13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0" fontId="0" fillId="0" borderId="0" xfId="0" applyNumberFormat="1" applyAlignment="1">
      <alignment/>
    </xf>
    <xf numFmtId="0" fontId="0" fillId="0" borderId="23" xfId="0" applyBorder="1" applyAlignment="1">
      <alignment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20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20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1" xfId="0" applyBorder="1" applyAlignment="1">
      <alignment/>
    </xf>
    <xf numFmtId="0" fontId="20" fillId="0" borderId="35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0" fillId="0" borderId="47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20" fillId="0" borderId="4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20" fillId="0" borderId="53" xfId="0" applyFont="1" applyBorder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56" xfId="0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57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0" fillId="0" borderId="58" xfId="0" applyFont="1" applyBorder="1" applyAlignment="1">
      <alignment vertical="center" wrapText="1"/>
    </xf>
    <xf numFmtId="0" fontId="0" fillId="0" borderId="51" xfId="0" applyFont="1" applyBorder="1" applyAlignment="1">
      <alignment horizontal="right" vertical="center" wrapText="1"/>
    </xf>
    <xf numFmtId="0" fontId="0" fillId="0" borderId="40" xfId="0" applyFont="1" applyBorder="1" applyAlignment="1">
      <alignment horizontal="right" vertical="center" wrapText="1"/>
    </xf>
    <xf numFmtId="0" fontId="0" fillId="0" borderId="59" xfId="0" applyFont="1" applyBorder="1" applyAlignment="1">
      <alignment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42" xfId="0" applyFont="1" applyBorder="1" applyAlignment="1">
      <alignment horizontal="right" vertical="center" wrapText="1"/>
    </xf>
    <xf numFmtId="0" fontId="0" fillId="0" borderId="60" xfId="0" applyFont="1" applyBorder="1" applyAlignment="1">
      <alignment vertical="center" wrapText="1"/>
    </xf>
    <xf numFmtId="0" fontId="0" fillId="0" borderId="33" xfId="0" applyFont="1" applyBorder="1" applyAlignment="1">
      <alignment horizontal="right" vertical="center" wrapText="1"/>
    </xf>
    <xf numFmtId="0" fontId="0" fillId="0" borderId="43" xfId="0" applyFont="1" applyBorder="1" applyAlignment="1">
      <alignment horizontal="right" vertical="center" wrapText="1"/>
    </xf>
    <xf numFmtId="0" fontId="20" fillId="0" borderId="11" xfId="0" applyFont="1" applyBorder="1" applyAlignment="1">
      <alignment vertical="center" wrapText="1"/>
    </xf>
    <xf numFmtId="0" fontId="20" fillId="0" borderId="13" xfId="0" applyFont="1" applyBorder="1" applyAlignment="1">
      <alignment horizontal="right" vertical="center" wrapText="1"/>
    </xf>
    <xf numFmtId="0" fontId="20" fillId="0" borderId="15" xfId="0" applyFont="1" applyBorder="1" applyAlignment="1">
      <alignment horizontal="right" vertical="center" wrapText="1"/>
    </xf>
    <xf numFmtId="0" fontId="20" fillId="0" borderId="58" xfId="0" applyFont="1" applyBorder="1" applyAlignment="1">
      <alignment vertical="center" wrapText="1"/>
    </xf>
    <xf numFmtId="0" fontId="20" fillId="0" borderId="51" xfId="0" applyFont="1" applyBorder="1" applyAlignment="1">
      <alignment horizontal="right" vertical="center" wrapText="1"/>
    </xf>
    <xf numFmtId="0" fontId="20" fillId="0" borderId="40" xfId="0" applyFont="1" applyBorder="1" applyAlignment="1">
      <alignment horizontal="right" vertical="center" wrapText="1"/>
    </xf>
    <xf numFmtId="0" fontId="20" fillId="0" borderId="60" xfId="0" applyFont="1" applyBorder="1" applyAlignment="1">
      <alignment vertical="center" wrapText="1"/>
    </xf>
    <xf numFmtId="0" fontId="20" fillId="0" borderId="33" xfId="0" applyFont="1" applyBorder="1" applyAlignment="1">
      <alignment horizontal="right" vertical="center" wrapText="1"/>
    </xf>
    <xf numFmtId="0" fontId="20" fillId="0" borderId="43" xfId="0" applyFont="1" applyBorder="1" applyAlignment="1">
      <alignment horizontal="right" vertical="center" wrapText="1"/>
    </xf>
    <xf numFmtId="0" fontId="20" fillId="0" borderId="61" xfId="0" applyFont="1" applyBorder="1" applyAlignment="1">
      <alignment vertical="center" wrapText="1"/>
    </xf>
    <xf numFmtId="0" fontId="20" fillId="0" borderId="52" xfId="0" applyFont="1" applyBorder="1" applyAlignment="1">
      <alignment horizontal="right" vertical="center" wrapText="1"/>
    </xf>
    <xf numFmtId="0" fontId="20" fillId="0" borderId="49" xfId="0" applyFont="1" applyBorder="1" applyAlignment="1">
      <alignment horizontal="right" vertical="center" wrapText="1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35" xfId="0" applyFont="1" applyBorder="1" applyAlignment="1">
      <alignment horizontal="center" wrapText="1"/>
    </xf>
    <xf numFmtId="0" fontId="20" fillId="0" borderId="22" xfId="0" applyFont="1" applyBorder="1" applyAlignment="1">
      <alignment/>
    </xf>
    <xf numFmtId="0" fontId="20" fillId="0" borderId="1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6" xfId="0" applyFont="1" applyBorder="1" applyAlignment="1">
      <alignment wrapText="1"/>
    </xf>
    <xf numFmtId="0" fontId="0" fillId="0" borderId="58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20" fillId="0" borderId="18" xfId="0" applyFont="1" applyBorder="1" applyAlignment="1">
      <alignment wrapText="1"/>
    </xf>
    <xf numFmtId="0" fontId="0" fillId="0" borderId="59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0" fillId="0" borderId="62" xfId="0" applyFont="1" applyBorder="1" applyAlignment="1">
      <alignment wrapText="1"/>
    </xf>
    <xf numFmtId="0" fontId="0" fillId="0" borderId="60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20" fillId="0" borderId="63" xfId="0" applyFont="1" applyBorder="1" applyAlignment="1">
      <alignment wrapText="1"/>
    </xf>
    <xf numFmtId="0" fontId="0" fillId="0" borderId="61" xfId="0" applyFont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20" fillId="0" borderId="57" xfId="0" applyFont="1" applyBorder="1" applyAlignment="1">
      <alignment horizontal="center" wrapText="1"/>
    </xf>
    <xf numFmtId="0" fontId="20" fillId="0" borderId="37" xfId="0" applyFont="1" applyBorder="1" applyAlignment="1">
      <alignment horizontal="center" wrapText="1"/>
    </xf>
    <xf numFmtId="164" fontId="0" fillId="0" borderId="16" xfId="0" applyNumberFormat="1" applyFont="1" applyBorder="1" applyAlignment="1">
      <alignment horizontal="center" wrapText="1"/>
    </xf>
    <xf numFmtId="164" fontId="0" fillId="0" borderId="40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62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20" fillId="0" borderId="13" xfId="0" applyFont="1" applyBorder="1" applyAlignment="1">
      <alignment horizontal="center" wrapText="1"/>
    </xf>
    <xf numFmtId="0" fontId="0" fillId="0" borderId="64" xfId="0" applyFont="1" applyBorder="1" applyAlignment="1">
      <alignment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wrapText="1"/>
    </xf>
    <xf numFmtId="0" fontId="0" fillId="0" borderId="44" xfId="0" applyFont="1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20" fillId="0" borderId="22" xfId="0" applyFont="1" applyBorder="1" applyAlignment="1">
      <alignment wrapText="1"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5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3" xfId="0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53" xfId="0" applyFont="1" applyFill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165" fontId="0" fillId="0" borderId="68" xfId="0" applyNumberFormat="1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44" xfId="0" applyBorder="1" applyAlignment="1">
      <alignment/>
    </xf>
    <xf numFmtId="0" fontId="0" fillId="0" borderId="1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53" xfId="0" applyBorder="1" applyAlignment="1">
      <alignment/>
    </xf>
    <xf numFmtId="0" fontId="20" fillId="0" borderId="35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7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3" fillId="0" borderId="0" xfId="0" applyFont="1" applyAlignment="1" applyProtection="1">
      <alignment horizontal="left"/>
      <protection/>
    </xf>
    <xf numFmtId="0" fontId="23" fillId="0" borderId="0" xfId="0" applyFont="1" applyAlignment="1">
      <alignment/>
    </xf>
    <xf numFmtId="0" fontId="20" fillId="0" borderId="24" xfId="0" applyFont="1" applyBorder="1" applyAlignment="1" applyProtection="1">
      <alignment horizontal="center"/>
      <protection/>
    </xf>
    <xf numFmtId="0" fontId="20" fillId="0" borderId="13" xfId="0" applyFont="1" applyBorder="1" applyAlignment="1" applyProtection="1">
      <alignment horizontal="center"/>
      <protection/>
    </xf>
    <xf numFmtId="0" fontId="20" fillId="0" borderId="15" xfId="0" applyFont="1" applyBorder="1" applyAlignment="1" applyProtection="1">
      <alignment horizontal="center"/>
      <protection/>
    </xf>
    <xf numFmtId="0" fontId="20" fillId="0" borderId="23" xfId="0" applyFont="1" applyFill="1" applyBorder="1" applyAlignment="1" applyProtection="1">
      <alignment horizontal="center"/>
      <protection/>
    </xf>
    <xf numFmtId="0" fontId="20" fillId="0" borderId="25" xfId="0" applyFont="1" applyBorder="1" applyAlignment="1" applyProtection="1">
      <alignment horizontal="left"/>
      <protection/>
    </xf>
    <xf numFmtId="0" fontId="0" fillId="0" borderId="2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2" fontId="0" fillId="0" borderId="35" xfId="0" applyNumberFormat="1" applyBorder="1" applyAlignment="1">
      <alignment horizontal="center"/>
    </xf>
    <xf numFmtId="0" fontId="20" fillId="0" borderId="28" xfId="0" applyFont="1" applyBorder="1" applyAlignment="1" applyProtection="1">
      <alignment horizontal="left"/>
      <protection/>
    </xf>
    <xf numFmtId="0" fontId="0" fillId="0" borderId="29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2" fontId="0" fillId="0" borderId="66" xfId="0" applyNumberFormat="1" applyBorder="1" applyAlignment="1">
      <alignment horizontal="center"/>
    </xf>
    <xf numFmtId="0" fontId="20" fillId="0" borderId="31" xfId="0" applyFont="1" applyBorder="1" applyAlignment="1" applyProtection="1">
      <alignment horizontal="left"/>
      <protection/>
    </xf>
    <xf numFmtId="0" fontId="0" fillId="0" borderId="32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2" fontId="0" fillId="0" borderId="47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20" fillId="0" borderId="38" xfId="0" applyFont="1" applyFill="1" applyBorder="1" applyAlignment="1" applyProtection="1">
      <alignment horizontal="left"/>
      <protection/>
    </xf>
    <xf numFmtId="2" fontId="0" fillId="0" borderId="39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20" fillId="0" borderId="31" xfId="0" applyFont="1" applyFill="1" applyBorder="1" applyAlignment="1" applyProtection="1">
      <alignment horizontal="left"/>
      <protection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20" fillId="0" borderId="14" xfId="0" applyFont="1" applyBorder="1" applyAlignment="1" applyProtection="1">
      <alignment horizontal="center"/>
      <protection/>
    </xf>
    <xf numFmtId="2" fontId="20" fillId="0" borderId="23" xfId="0" applyNumberFormat="1" applyFont="1" applyBorder="1" applyAlignment="1">
      <alignment/>
    </xf>
    <xf numFmtId="0" fontId="0" fillId="0" borderId="2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2" fontId="0" fillId="0" borderId="25" xfId="0" applyNumberFormat="1" applyBorder="1" applyAlignment="1">
      <alignment/>
    </xf>
    <xf numFmtId="0" fontId="0" fillId="0" borderId="29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2" fontId="0" fillId="0" borderId="28" xfId="0" applyNumberFormat="1" applyBorder="1" applyAlignment="1">
      <alignment/>
    </xf>
    <xf numFmtId="0" fontId="20" fillId="0" borderId="44" xfId="0" applyFont="1" applyBorder="1" applyAlignment="1" applyProtection="1">
      <alignment horizontal="left"/>
      <protection/>
    </xf>
    <xf numFmtId="0" fontId="0" fillId="0" borderId="45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81" xfId="0" applyBorder="1" applyAlignment="1" applyProtection="1">
      <alignment/>
      <protection/>
    </xf>
    <xf numFmtId="2" fontId="0" fillId="0" borderId="44" xfId="0" applyNumberFormat="1" applyBorder="1" applyAlignment="1">
      <alignment/>
    </xf>
    <xf numFmtId="2" fontId="20" fillId="0" borderId="38" xfId="0" applyNumberFormat="1" applyFont="1" applyBorder="1" applyAlignment="1" applyProtection="1">
      <alignment horizontal="left"/>
      <protection/>
    </xf>
    <xf numFmtId="2" fontId="0" fillId="0" borderId="39" xfId="0" applyNumberFormat="1" applyBorder="1" applyAlignment="1" applyProtection="1">
      <alignment/>
      <protection/>
    </xf>
    <xf numFmtId="2" fontId="0" fillId="0" borderId="51" xfId="0" applyNumberFormat="1" applyBorder="1" applyAlignment="1" applyProtection="1">
      <alignment/>
      <protection/>
    </xf>
    <xf numFmtId="2" fontId="0" fillId="0" borderId="82" xfId="0" applyNumberFormat="1" applyBorder="1" applyAlignment="1" applyProtection="1">
      <alignment/>
      <protection/>
    </xf>
    <xf numFmtId="2" fontId="0" fillId="0" borderId="38" xfId="0" applyNumberFormat="1" applyBorder="1" applyAlignment="1">
      <alignment/>
    </xf>
    <xf numFmtId="2" fontId="20" fillId="0" borderId="31" xfId="0" applyNumberFormat="1" applyFont="1" applyBorder="1" applyAlignment="1" applyProtection="1">
      <alignment horizontal="left"/>
      <protection/>
    </xf>
    <xf numFmtId="2" fontId="0" fillId="0" borderId="32" xfId="0" applyNumberFormat="1" applyBorder="1" applyAlignment="1" applyProtection="1">
      <alignment/>
      <protection/>
    </xf>
    <xf numFmtId="2" fontId="0" fillId="0" borderId="33" xfId="0" applyNumberFormat="1" applyBorder="1" applyAlignment="1" applyProtection="1">
      <alignment/>
      <protection/>
    </xf>
    <xf numFmtId="2" fontId="0" fillId="0" borderId="34" xfId="0" applyNumberFormat="1" applyBorder="1" applyAlignment="1" applyProtection="1">
      <alignment/>
      <protection/>
    </xf>
    <xf numFmtId="2" fontId="0" fillId="0" borderId="31" xfId="0" applyNumberFormat="1" applyBorder="1" applyAlignment="1">
      <alignment/>
    </xf>
    <xf numFmtId="0" fontId="24" fillId="0" borderId="0" xfId="0" applyFont="1" applyAlignment="1">
      <alignment/>
    </xf>
    <xf numFmtId="0" fontId="20" fillId="0" borderId="39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2" fontId="2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25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164" fontId="27" fillId="0" borderId="13" xfId="0" applyNumberFormat="1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2" fontId="27" fillId="0" borderId="15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2" fontId="20" fillId="0" borderId="24" xfId="0" applyNumberFormat="1" applyFont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2" fontId="20" fillId="0" borderId="15" xfId="0" applyNumberFormat="1" applyFont="1" applyBorder="1" applyAlignment="1">
      <alignment horizontal="center"/>
    </xf>
    <xf numFmtId="2" fontId="0" fillId="0" borderId="2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42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43" xfId="0" applyNumberFormat="1" applyBorder="1" applyAlignment="1">
      <alignment/>
    </xf>
    <xf numFmtId="0" fontId="0" fillId="0" borderId="0" xfId="0" applyFont="1" applyAlignment="1">
      <alignment horizontal="left"/>
    </xf>
    <xf numFmtId="1" fontId="20" fillId="0" borderId="0" xfId="0" applyNumberFormat="1" applyFont="1" applyAlignment="1">
      <alignment horizontal="center"/>
    </xf>
    <xf numFmtId="1" fontId="20" fillId="0" borderId="23" xfId="0" applyNumberFormat="1" applyFont="1" applyBorder="1" applyAlignment="1">
      <alignment horizontal="center"/>
    </xf>
    <xf numFmtId="1" fontId="20" fillId="0" borderId="24" xfId="0" applyNumberFormat="1" applyFont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1" fontId="20" fillId="0" borderId="15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20" fillId="0" borderId="25" xfId="0" applyNumberFormat="1" applyFont="1" applyBorder="1" applyAlignment="1">
      <alignment horizontal="center"/>
    </xf>
    <xf numFmtId="1" fontId="0" fillId="0" borderId="26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32" xfId="0" applyNumberFormat="1" applyBorder="1" applyAlignment="1">
      <alignment/>
    </xf>
    <xf numFmtId="1" fontId="0" fillId="0" borderId="33" xfId="0" applyNumberFormat="1" applyBorder="1" applyAlignment="1">
      <alignment/>
    </xf>
    <xf numFmtId="1" fontId="20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20" fillId="0" borderId="47" xfId="0" applyNumberFormat="1" applyFont="1" applyBorder="1" applyAlignment="1">
      <alignment horizontal="center"/>
    </xf>
    <xf numFmtId="1" fontId="0" fillId="0" borderId="61" xfId="0" applyNumberFormat="1" applyFont="1" applyBorder="1" applyAlignment="1">
      <alignment horizontal="right"/>
    </xf>
    <xf numFmtId="1" fontId="0" fillId="0" borderId="52" xfId="0" applyNumberFormat="1" applyBorder="1" applyAlignment="1">
      <alignment horizontal="right"/>
    </xf>
    <xf numFmtId="1" fontId="0" fillId="0" borderId="49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0" fillId="0" borderId="58" xfId="0" applyFont="1" applyBorder="1" applyAlignment="1">
      <alignment/>
    </xf>
    <xf numFmtId="0" fontId="20" fillId="0" borderId="51" xfId="0" applyFont="1" applyBorder="1" applyAlignment="1">
      <alignment/>
    </xf>
    <xf numFmtId="0" fontId="20" fillId="0" borderId="40" xfId="0" applyFont="1" applyBorder="1" applyAlignment="1">
      <alignment/>
    </xf>
    <xf numFmtId="0" fontId="20" fillId="0" borderId="58" xfId="0" applyFont="1" applyBorder="1" applyAlignment="1">
      <alignment horizontal="center"/>
    </xf>
    <xf numFmtId="0" fontId="0" fillId="0" borderId="59" xfId="0" applyBorder="1" applyAlignment="1">
      <alignment/>
    </xf>
    <xf numFmtId="0" fontId="0" fillId="0" borderId="59" xfId="0" applyBorder="1" applyAlignment="1">
      <alignment horizontal="center"/>
    </xf>
    <xf numFmtId="0" fontId="20" fillId="0" borderId="60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43" xfId="0" applyFont="1" applyBorder="1" applyAlignment="1">
      <alignment/>
    </xf>
    <xf numFmtId="0" fontId="0" fillId="0" borderId="59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0" fillId="0" borderId="60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166" fontId="20" fillId="0" borderId="51" xfId="0" applyNumberFormat="1" applyFont="1" applyBorder="1" applyAlignment="1">
      <alignment horizontal="center"/>
    </xf>
    <xf numFmtId="0" fontId="20" fillId="0" borderId="58" xfId="0" applyFont="1" applyBorder="1" applyAlignment="1">
      <alignment horizontal="left"/>
    </xf>
    <xf numFmtId="0" fontId="20" fillId="0" borderId="82" xfId="0" applyFon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166" fontId="0" fillId="0" borderId="42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42" xfId="0" applyNumberFormat="1" applyBorder="1" applyAlignment="1">
      <alignment horizontal="center"/>
    </xf>
    <xf numFmtId="1" fontId="20" fillId="0" borderId="32" xfId="0" applyNumberFormat="1" applyFont="1" applyBorder="1" applyAlignment="1">
      <alignment horizontal="center"/>
    </xf>
    <xf numFmtId="166" fontId="20" fillId="0" borderId="32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165" fontId="20" fillId="0" borderId="33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2" fontId="20" fillId="0" borderId="0" xfId="0" applyNumberFormat="1" applyFont="1" applyAlignment="1">
      <alignment horizontal="center"/>
    </xf>
    <xf numFmtId="2" fontId="20" fillId="0" borderId="51" xfId="0" applyNumberFormat="1" applyFont="1" applyBorder="1" applyAlignment="1">
      <alignment horizontal="center"/>
    </xf>
    <xf numFmtId="2" fontId="20" fillId="0" borderId="51" xfId="0" applyNumberFormat="1" applyFont="1" applyFill="1" applyBorder="1" applyAlignment="1">
      <alignment horizontal="center"/>
    </xf>
    <xf numFmtId="2" fontId="20" fillId="0" borderId="40" xfId="0" applyNumberFormat="1" applyFont="1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20" fillId="0" borderId="33" xfId="0" applyNumberFormat="1" applyFont="1" applyBorder="1" applyAlignment="1">
      <alignment horizontal="center"/>
    </xf>
    <xf numFmtId="2" fontId="20" fillId="0" borderId="43" xfId="0" applyNumberFormat="1" applyFont="1" applyBorder="1" applyAlignment="1">
      <alignment horizontal="center"/>
    </xf>
    <xf numFmtId="2" fontId="20" fillId="0" borderId="58" xfId="0" applyNumberFormat="1" applyFont="1" applyBorder="1" applyAlignment="1">
      <alignment/>
    </xf>
    <xf numFmtId="2" fontId="20" fillId="0" borderId="40" xfId="0" applyNumberFormat="1" applyFont="1" applyBorder="1" applyAlignment="1">
      <alignment/>
    </xf>
    <xf numFmtId="2" fontId="20" fillId="0" borderId="59" xfId="0" applyNumberFormat="1" applyFont="1" applyBorder="1" applyAlignment="1">
      <alignment/>
    </xf>
    <xf numFmtId="2" fontId="20" fillId="0" borderId="42" xfId="0" applyNumberFormat="1" applyFont="1" applyBorder="1" applyAlignment="1">
      <alignment/>
    </xf>
    <xf numFmtId="2" fontId="20" fillId="0" borderId="60" xfId="0" applyNumberFormat="1" applyFont="1" applyBorder="1" applyAlignment="1">
      <alignment/>
    </xf>
    <xf numFmtId="2" fontId="20" fillId="0" borderId="43" xfId="0" applyNumberFormat="1" applyFont="1" applyBorder="1" applyAlignment="1">
      <alignment/>
    </xf>
    <xf numFmtId="2" fontId="20" fillId="0" borderId="40" xfId="0" applyNumberFormat="1" applyFon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20" fillId="0" borderId="34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0" fontId="20" fillId="0" borderId="0" xfId="0" applyNumberFormat="1" applyFont="1" applyAlignment="1">
      <alignment/>
    </xf>
    <xf numFmtId="167" fontId="20" fillId="0" borderId="0" xfId="0" applyNumberFormat="1" applyFont="1" applyAlignment="1">
      <alignment/>
    </xf>
    <xf numFmtId="167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22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3" xfId="0" applyFont="1" applyBorder="1" applyAlignment="1">
      <alignment/>
    </xf>
    <xf numFmtId="10" fontId="20" fillId="0" borderId="13" xfId="0" applyNumberFormat="1" applyFont="1" applyBorder="1" applyAlignment="1">
      <alignment/>
    </xf>
    <xf numFmtId="10" fontId="20" fillId="0" borderId="14" xfId="0" applyNumberFormat="1" applyFont="1" applyBorder="1" applyAlignment="1">
      <alignment/>
    </xf>
    <xf numFmtId="167" fontId="20" fillId="0" borderId="14" xfId="0" applyNumberFormat="1" applyFont="1" applyBorder="1" applyAlignment="1">
      <alignment/>
    </xf>
    <xf numFmtId="167" fontId="20" fillId="0" borderId="15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71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1" xfId="0" applyFont="1" applyBorder="1" applyAlignment="1">
      <alignment/>
    </xf>
    <xf numFmtId="10" fontId="0" fillId="0" borderId="51" xfId="0" applyNumberFormat="1" applyFont="1" applyBorder="1" applyAlignment="1">
      <alignment/>
    </xf>
    <xf numFmtId="10" fontId="0" fillId="0" borderId="82" xfId="0" applyNumberFormat="1" applyFont="1" applyBorder="1" applyAlignment="1">
      <alignment/>
    </xf>
    <xf numFmtId="167" fontId="0" fillId="0" borderId="82" xfId="0" applyNumberFormat="1" applyFont="1" applyBorder="1" applyAlignment="1">
      <alignment/>
    </xf>
    <xf numFmtId="167" fontId="0" fillId="0" borderId="3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19" xfId="0" applyBorder="1" applyAlignment="1">
      <alignment/>
    </xf>
    <xf numFmtId="10" fontId="0" fillId="0" borderId="19" xfId="0" applyNumberFormat="1" applyBorder="1" applyAlignment="1">
      <alignment/>
    </xf>
    <xf numFmtId="10" fontId="0" fillId="0" borderId="30" xfId="0" applyNumberFormat="1" applyBorder="1" applyAlignment="1">
      <alignment/>
    </xf>
    <xf numFmtId="167" fontId="0" fillId="0" borderId="30" xfId="0" applyNumberFormat="1" applyBorder="1" applyAlignment="1">
      <alignment/>
    </xf>
    <xf numFmtId="167" fontId="0" fillId="0" borderId="42" xfId="0" applyNumberFormat="1" applyBorder="1" applyAlignment="1">
      <alignment/>
    </xf>
    <xf numFmtId="0" fontId="0" fillId="0" borderId="83" xfId="0" applyBorder="1" applyAlignment="1">
      <alignment/>
    </xf>
    <xf numFmtId="0" fontId="0" fillId="0" borderId="21" xfId="0" applyBorder="1" applyAlignment="1">
      <alignment/>
    </xf>
    <xf numFmtId="10" fontId="0" fillId="0" borderId="21" xfId="0" applyNumberFormat="1" applyBorder="1" applyAlignment="1">
      <alignment/>
    </xf>
    <xf numFmtId="167" fontId="0" fillId="0" borderId="43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10" fontId="0" fillId="0" borderId="13" xfId="0" applyNumberFormat="1" applyBorder="1" applyAlignment="1">
      <alignment/>
    </xf>
    <xf numFmtId="10" fontId="0" fillId="0" borderId="14" xfId="0" applyNumberFormat="1" applyBorder="1" applyAlignment="1">
      <alignment/>
    </xf>
    <xf numFmtId="167" fontId="0" fillId="0" borderId="13" xfId="0" applyNumberFormat="1" applyBorder="1" applyAlignment="1">
      <alignment/>
    </xf>
    <xf numFmtId="167" fontId="0" fillId="0" borderId="23" xfId="0" applyNumberFormat="1" applyBorder="1" applyAlignment="1">
      <alignment/>
    </xf>
    <xf numFmtId="0" fontId="20" fillId="0" borderId="15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2" xfId="0" applyBorder="1" applyAlignment="1">
      <alignment/>
    </xf>
    <xf numFmtId="0" fontId="0" fillId="0" borderId="46" xfId="0" applyBorder="1" applyAlignment="1">
      <alignment/>
    </xf>
    <xf numFmtId="0" fontId="0" fillId="0" borderId="15" xfId="0" applyBorder="1" applyAlignment="1">
      <alignment/>
    </xf>
    <xf numFmtId="0" fontId="20" fillId="0" borderId="2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0" fillId="0" borderId="84" xfId="0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0" fillId="0" borderId="60" xfId="0" applyBorder="1" applyAlignment="1">
      <alignment/>
    </xf>
    <xf numFmtId="0" fontId="20" fillId="0" borderId="57" xfId="0" applyFont="1" applyBorder="1" applyAlignment="1">
      <alignment horizontal="center"/>
    </xf>
    <xf numFmtId="0" fontId="0" fillId="0" borderId="58" xfId="0" applyBorder="1" applyAlignment="1">
      <alignment/>
    </xf>
    <xf numFmtId="0" fontId="20" fillId="0" borderId="71" xfId="0" applyFont="1" applyBorder="1" applyAlignment="1">
      <alignment horizontal="center"/>
    </xf>
    <xf numFmtId="0" fontId="0" fillId="0" borderId="83" xfId="0" applyBorder="1" applyAlignment="1">
      <alignment/>
    </xf>
    <xf numFmtId="0" fontId="0" fillId="0" borderId="81" xfId="0" applyBorder="1" applyAlignment="1">
      <alignment/>
    </xf>
    <xf numFmtId="0" fontId="0" fillId="0" borderId="14" xfId="0" applyBorder="1" applyAlignment="1">
      <alignment/>
    </xf>
    <xf numFmtId="0" fontId="20" fillId="0" borderId="71" xfId="0" applyFont="1" applyBorder="1" applyAlignment="1">
      <alignment/>
    </xf>
    <xf numFmtId="164" fontId="0" fillId="0" borderId="84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41" xfId="0" applyNumberFormat="1" applyBorder="1" applyAlignment="1">
      <alignment/>
    </xf>
    <xf numFmtId="0" fontId="20" fillId="0" borderId="63" xfId="0" applyFont="1" applyBorder="1" applyAlignment="1">
      <alignment/>
    </xf>
    <xf numFmtId="164" fontId="0" fillId="0" borderId="60" xfId="0" applyNumberFormat="1" applyBorder="1" applyAlignment="1">
      <alignment/>
    </xf>
    <xf numFmtId="164" fontId="0" fillId="0" borderId="33" xfId="0" applyNumberFormat="1" applyBorder="1" applyAlignment="1">
      <alignment/>
    </xf>
    <xf numFmtId="164" fontId="0" fillId="0" borderId="43" xfId="0" applyNumberFormat="1" applyBorder="1" applyAlignment="1">
      <alignment/>
    </xf>
    <xf numFmtId="164" fontId="0" fillId="0" borderId="0" xfId="0" applyNumberFormat="1" applyAlignment="1">
      <alignment/>
    </xf>
    <xf numFmtId="164" fontId="20" fillId="0" borderId="11" xfId="0" applyNumberFormat="1" applyFont="1" applyBorder="1" applyAlignment="1">
      <alignment horizontal="center"/>
    </xf>
    <xf numFmtId="164" fontId="20" fillId="0" borderId="13" xfId="0" applyNumberFormat="1" applyFont="1" applyBorder="1" applyAlignment="1">
      <alignment horizontal="center"/>
    </xf>
    <xf numFmtId="164" fontId="20" fillId="0" borderId="15" xfId="0" applyNumberFormat="1" applyFont="1" applyBorder="1" applyAlignment="1">
      <alignment horizontal="center"/>
    </xf>
    <xf numFmtId="164" fontId="0" fillId="0" borderId="83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46" xfId="0" applyNumberFormat="1" applyBorder="1" applyAlignment="1">
      <alignment/>
    </xf>
    <xf numFmtId="0" fontId="20" fillId="0" borderId="11" xfId="0" applyFont="1" applyBorder="1" applyAlignment="1">
      <alignment/>
    </xf>
    <xf numFmtId="2" fontId="0" fillId="0" borderId="84" xfId="0" applyNumberFormat="1" applyBorder="1" applyAlignment="1">
      <alignment/>
    </xf>
    <xf numFmtId="2" fontId="0" fillId="0" borderId="59" xfId="0" applyNumberFormat="1" applyBorder="1" applyAlignment="1">
      <alignment/>
    </xf>
    <xf numFmtId="2" fontId="0" fillId="0" borderId="60" xfId="0" applyNumberFormat="1" applyBorder="1" applyAlignment="1">
      <alignment/>
    </xf>
    <xf numFmtId="2" fontId="0" fillId="0" borderId="83" xfId="0" applyNumberFormat="1" applyBorder="1" applyAlignment="1">
      <alignment/>
    </xf>
    <xf numFmtId="2" fontId="0" fillId="0" borderId="46" xfId="0" applyNumberFormat="1" applyBorder="1" applyAlignment="1">
      <alignment/>
    </xf>
    <xf numFmtId="2" fontId="20" fillId="0" borderId="11" xfId="0" applyNumberFormat="1" applyFont="1" applyBorder="1" applyAlignment="1">
      <alignment/>
    </xf>
    <xf numFmtId="2" fontId="20" fillId="0" borderId="15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164" fontId="20" fillId="0" borderId="24" xfId="0" applyNumberFormat="1" applyFont="1" applyBorder="1" applyAlignment="1">
      <alignment horizontal="center"/>
    </xf>
    <xf numFmtId="164" fontId="0" fillId="0" borderId="26" xfId="0" applyNumberFormat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32" xfId="0" applyNumberForma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 horizontal="left"/>
    </xf>
    <xf numFmtId="0" fontId="30" fillId="0" borderId="11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30" fillId="0" borderId="84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165" fontId="30" fillId="0" borderId="17" xfId="0" applyNumberFormat="1" applyFont="1" applyBorder="1" applyAlignment="1">
      <alignment horizontal="center"/>
    </xf>
    <xf numFmtId="168" fontId="30" fillId="0" borderId="17" xfId="0" applyNumberFormat="1" applyFont="1" applyBorder="1" applyAlignment="1">
      <alignment horizontal="center"/>
    </xf>
    <xf numFmtId="2" fontId="30" fillId="0" borderId="17" xfId="0" applyNumberFormat="1" applyFont="1" applyBorder="1" applyAlignment="1">
      <alignment horizontal="center"/>
    </xf>
    <xf numFmtId="165" fontId="30" fillId="0" borderId="41" xfId="0" applyNumberFormat="1" applyFont="1" applyBorder="1" applyAlignment="1">
      <alignment horizontal="center"/>
    </xf>
    <xf numFmtId="0" fontId="30" fillId="0" borderId="59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165" fontId="30" fillId="0" borderId="19" xfId="0" applyNumberFormat="1" applyFont="1" applyBorder="1" applyAlignment="1">
      <alignment horizontal="center"/>
    </xf>
    <xf numFmtId="168" fontId="30" fillId="0" borderId="19" xfId="0" applyNumberFormat="1" applyFont="1" applyBorder="1" applyAlignment="1">
      <alignment horizontal="center"/>
    </xf>
    <xf numFmtId="2" fontId="30" fillId="0" borderId="19" xfId="0" applyNumberFormat="1" applyFont="1" applyBorder="1" applyAlignment="1">
      <alignment horizontal="center"/>
    </xf>
    <xf numFmtId="165" fontId="30" fillId="0" borderId="42" xfId="0" applyNumberFormat="1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30" fillId="0" borderId="60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165" fontId="30" fillId="0" borderId="33" xfId="0" applyNumberFormat="1" applyFont="1" applyBorder="1" applyAlignment="1">
      <alignment horizontal="center"/>
    </xf>
    <xf numFmtId="168" fontId="30" fillId="0" borderId="33" xfId="0" applyNumberFormat="1" applyFont="1" applyBorder="1" applyAlignment="1">
      <alignment horizontal="center"/>
    </xf>
    <xf numFmtId="2" fontId="30" fillId="0" borderId="33" xfId="0" applyNumberFormat="1" applyFont="1" applyBorder="1" applyAlignment="1">
      <alignment horizontal="center"/>
    </xf>
    <xf numFmtId="165" fontId="30" fillId="0" borderId="43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2" fontId="30" fillId="0" borderId="13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20" fillId="0" borderId="0" xfId="0" applyFont="1" applyBorder="1" applyAlignment="1">
      <alignment/>
    </xf>
    <xf numFmtId="0" fontId="31" fillId="0" borderId="1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41" xfId="0" applyFont="1" applyBorder="1" applyAlignment="1">
      <alignment horizontal="center"/>
    </xf>
    <xf numFmtId="165" fontId="30" fillId="0" borderId="0" xfId="0" applyNumberFormat="1" applyFont="1" applyBorder="1" applyAlignment="1">
      <alignment horizontal="center"/>
    </xf>
    <xf numFmtId="0" fontId="30" fillId="0" borderId="42" xfId="0" applyFont="1" applyBorder="1" applyAlignment="1">
      <alignment horizontal="center"/>
    </xf>
    <xf numFmtId="0" fontId="30" fillId="0" borderId="43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165" fontId="30" fillId="0" borderId="84" xfId="0" applyNumberFormat="1" applyFont="1" applyBorder="1" applyAlignment="1">
      <alignment horizontal="center"/>
    </xf>
    <xf numFmtId="165" fontId="30" fillId="0" borderId="59" xfId="0" applyNumberFormat="1" applyFont="1" applyBorder="1" applyAlignment="1">
      <alignment horizontal="center"/>
    </xf>
    <xf numFmtId="165" fontId="30" fillId="0" borderId="60" xfId="0" applyNumberFormat="1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1" fontId="30" fillId="0" borderId="41" xfId="0" applyNumberFormat="1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1" fontId="30" fillId="0" borderId="49" xfId="0" applyNumberFormat="1" applyFont="1" applyBorder="1" applyAlignment="1">
      <alignment horizontal="center"/>
    </xf>
    <xf numFmtId="165" fontId="31" fillId="0" borderId="13" xfId="0" applyNumberFormat="1" applyFont="1" applyBorder="1" applyAlignment="1">
      <alignment horizontal="center"/>
    </xf>
    <xf numFmtId="2" fontId="30" fillId="0" borderId="52" xfId="0" applyNumberFormat="1" applyFont="1" applyBorder="1" applyAlignment="1">
      <alignment horizontal="center"/>
    </xf>
    <xf numFmtId="165" fontId="30" fillId="0" borderId="52" xfId="0" applyNumberFormat="1" applyFont="1" applyBorder="1" applyAlignment="1">
      <alignment horizontal="center"/>
    </xf>
    <xf numFmtId="0" fontId="31" fillId="0" borderId="0" xfId="0" applyFont="1" applyAlignment="1">
      <alignment horizontal="center"/>
    </xf>
    <xf numFmtId="165" fontId="31" fillId="0" borderId="15" xfId="0" applyNumberFormat="1" applyFont="1" applyBorder="1" applyAlignment="1">
      <alignment horizontal="center"/>
    </xf>
    <xf numFmtId="0" fontId="1" fillId="0" borderId="11" xfId="50" applyFont="1" applyBorder="1">
      <alignment/>
      <protection/>
    </xf>
    <xf numFmtId="0" fontId="1" fillId="0" borderId="13" xfId="50" applyFont="1" applyBorder="1" applyAlignment="1">
      <alignment horizontal="center"/>
      <protection/>
    </xf>
    <xf numFmtId="0" fontId="1" fillId="0" borderId="15" xfId="50" applyFont="1" applyBorder="1" applyAlignment="1">
      <alignment horizontal="center"/>
      <protection/>
    </xf>
    <xf numFmtId="0" fontId="36" fillId="0" borderId="84" xfId="50" applyFont="1" applyBorder="1">
      <alignment/>
      <protection/>
    </xf>
    <xf numFmtId="0" fontId="1" fillId="0" borderId="17" xfId="50" applyBorder="1" applyAlignment="1">
      <alignment horizontal="center"/>
      <protection/>
    </xf>
    <xf numFmtId="0" fontId="36" fillId="0" borderId="41" xfId="50" applyFont="1" applyBorder="1" applyAlignment="1">
      <alignment horizontal="center"/>
      <protection/>
    </xf>
    <xf numFmtId="0" fontId="36" fillId="0" borderId="59" xfId="50" applyFont="1" applyBorder="1">
      <alignment/>
      <protection/>
    </xf>
    <xf numFmtId="0" fontId="36" fillId="0" borderId="19" xfId="50" applyFont="1" applyBorder="1" applyAlignment="1">
      <alignment horizontal="center"/>
      <protection/>
    </xf>
    <xf numFmtId="0" fontId="36" fillId="0" borderId="42" xfId="50" applyFont="1" applyBorder="1" applyAlignment="1">
      <alignment horizontal="center"/>
      <protection/>
    </xf>
    <xf numFmtId="0" fontId="36" fillId="0" borderId="60" xfId="50" applyFont="1" applyBorder="1">
      <alignment/>
      <protection/>
    </xf>
    <xf numFmtId="0" fontId="36" fillId="0" borderId="33" xfId="50" applyFont="1" applyBorder="1" applyAlignment="1">
      <alignment horizontal="center"/>
      <protection/>
    </xf>
    <xf numFmtId="0" fontId="36" fillId="0" borderId="43" xfId="50" applyFont="1" applyBorder="1" applyAlignment="1">
      <alignment horizontal="center"/>
      <protection/>
    </xf>
    <xf numFmtId="0" fontId="36" fillId="0" borderId="0" xfId="50" applyFont="1" applyBorder="1">
      <alignment/>
      <protection/>
    </xf>
    <xf numFmtId="0" fontId="36" fillId="0" borderId="0" xfId="50" applyFont="1" applyBorder="1" applyAlignment="1">
      <alignment horizontal="center"/>
      <protection/>
    </xf>
    <xf numFmtId="0" fontId="36" fillId="0" borderId="0" xfId="50" applyFont="1">
      <alignment/>
      <protection/>
    </xf>
    <xf numFmtId="0" fontId="1" fillId="0" borderId="0" xfId="50">
      <alignment/>
      <protection/>
    </xf>
    <xf numFmtId="0" fontId="36" fillId="0" borderId="0" xfId="50" applyFont="1" applyFill="1" applyBorder="1">
      <alignment/>
      <protection/>
    </xf>
    <xf numFmtId="0" fontId="36" fillId="0" borderId="0" xfId="50" applyFont="1" applyFill="1">
      <alignment/>
      <protection/>
    </xf>
    <xf numFmtId="0" fontId="0" fillId="0" borderId="84" xfId="0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84" xfId="0" applyNumberFormat="1" applyBorder="1" applyAlignment="1">
      <alignment horizontal="center"/>
    </xf>
    <xf numFmtId="167" fontId="0" fillId="0" borderId="41" xfId="0" applyNumberFormat="1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167" fontId="0" fillId="0" borderId="30" xfId="0" applyNumberFormat="1" applyBorder="1" applyAlignment="1">
      <alignment horizontal="center"/>
    </xf>
    <xf numFmtId="167" fontId="0" fillId="0" borderId="59" xfId="0" applyNumberFormat="1" applyBorder="1" applyAlignment="1">
      <alignment horizontal="center"/>
    </xf>
    <xf numFmtId="167" fontId="0" fillId="0" borderId="42" xfId="0" applyNumberFormat="1" applyBorder="1" applyAlignment="1">
      <alignment horizontal="center"/>
    </xf>
    <xf numFmtId="0" fontId="0" fillId="0" borderId="83" xfId="0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167" fontId="0" fillId="0" borderId="81" xfId="0" applyNumberFormat="1" applyBorder="1" applyAlignment="1">
      <alignment horizontal="center"/>
    </xf>
    <xf numFmtId="167" fontId="0" fillId="0" borderId="83" xfId="0" applyNumberFormat="1" applyBorder="1" applyAlignment="1">
      <alignment horizontal="center"/>
    </xf>
    <xf numFmtId="167" fontId="0" fillId="0" borderId="46" xfId="0" applyNumberFormat="1" applyBorder="1" applyAlignment="1">
      <alignment horizontal="center"/>
    </xf>
    <xf numFmtId="167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167" fontId="0" fillId="0" borderId="14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5" xfId="0" applyNumberFormat="1" applyBorder="1" applyAlignment="1">
      <alignment/>
    </xf>
    <xf numFmtId="0" fontId="0" fillId="0" borderId="60" xfId="0" applyBorder="1" applyAlignment="1">
      <alignment horizontal="center"/>
    </xf>
    <xf numFmtId="165" fontId="20" fillId="0" borderId="13" xfId="0" applyNumberFormat="1" applyFont="1" applyBorder="1" applyAlignment="1">
      <alignment horizontal="center"/>
    </xf>
    <xf numFmtId="165" fontId="20" fillId="0" borderId="15" xfId="0" applyNumberFormat="1" applyFon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41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46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43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58" xfId="0" applyFont="1" applyBorder="1" applyAlignment="1">
      <alignment/>
    </xf>
    <xf numFmtId="165" fontId="0" fillId="0" borderId="51" xfId="0" applyNumberFormat="1" applyBorder="1" applyAlignment="1">
      <alignment/>
    </xf>
    <xf numFmtId="0" fontId="0" fillId="0" borderId="51" xfId="0" applyFont="1" applyBorder="1" applyAlignment="1">
      <alignment horizontal="right"/>
    </xf>
    <xf numFmtId="0" fontId="0" fillId="0" borderId="59" xfId="0" applyFont="1" applyBorder="1" applyAlignment="1">
      <alignment/>
    </xf>
    <xf numFmtId="165" fontId="0" fillId="0" borderId="19" xfId="0" applyNumberFormat="1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60" xfId="0" applyFont="1" applyBorder="1" applyAlignment="1">
      <alignment/>
    </xf>
    <xf numFmtId="165" fontId="0" fillId="0" borderId="33" xfId="0" applyNumberFormat="1" applyBorder="1" applyAlignment="1">
      <alignment/>
    </xf>
    <xf numFmtId="0" fontId="0" fillId="0" borderId="33" xfId="0" applyBorder="1" applyAlignment="1">
      <alignment horizontal="right"/>
    </xf>
    <xf numFmtId="165" fontId="2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23" fillId="0" borderId="0" xfId="0" applyNumberFormat="1" applyFont="1" applyAlignment="1">
      <alignment horizontal="left"/>
    </xf>
    <xf numFmtId="165" fontId="20" fillId="0" borderId="0" xfId="0" applyNumberFormat="1" applyFont="1" applyBorder="1" applyAlignment="1">
      <alignment horizontal="center"/>
    </xf>
    <xf numFmtId="165" fontId="20" fillId="0" borderId="85" xfId="0" applyNumberFormat="1" applyFont="1" applyBorder="1" applyAlignment="1">
      <alignment horizontal="center"/>
    </xf>
    <xf numFmtId="165" fontId="20" fillId="0" borderId="86" xfId="0" applyNumberFormat="1" applyFont="1" applyBorder="1" applyAlignment="1">
      <alignment horizontal="center"/>
    </xf>
    <xf numFmtId="2" fontId="20" fillId="0" borderId="87" xfId="0" applyNumberFormat="1" applyFont="1" applyBorder="1" applyAlignment="1">
      <alignment horizontal="center"/>
    </xf>
    <xf numFmtId="165" fontId="20" fillId="0" borderId="88" xfId="0" applyNumberFormat="1" applyFont="1" applyBorder="1" applyAlignment="1">
      <alignment horizontal="center"/>
    </xf>
    <xf numFmtId="165" fontId="20" fillId="0" borderId="0" xfId="0" applyNumberFormat="1" applyFont="1" applyAlignment="1">
      <alignment horizontal="right"/>
    </xf>
    <xf numFmtId="165" fontId="20" fillId="0" borderId="0" xfId="0" applyNumberFormat="1" applyFont="1" applyAlignment="1">
      <alignment/>
    </xf>
    <xf numFmtId="165" fontId="20" fillId="0" borderId="89" xfId="0" applyNumberFormat="1" applyFont="1" applyBorder="1" applyAlignment="1">
      <alignment horizontal="center"/>
    </xf>
    <xf numFmtId="2" fontId="0" fillId="0" borderId="90" xfId="0" applyNumberFormat="1" applyBorder="1" applyAlignment="1">
      <alignment horizontal="center"/>
    </xf>
    <xf numFmtId="2" fontId="0" fillId="0" borderId="91" xfId="0" applyNumberFormat="1" applyBorder="1" applyAlignment="1">
      <alignment horizontal="center"/>
    </xf>
    <xf numFmtId="2" fontId="0" fillId="0" borderId="92" xfId="0" applyNumberFormat="1" applyBorder="1" applyAlignment="1">
      <alignment horizontal="center"/>
    </xf>
    <xf numFmtId="165" fontId="0" fillId="0" borderId="0" xfId="0" applyNumberFormat="1" applyAlignment="1">
      <alignment horizontal="right"/>
    </xf>
    <xf numFmtId="165" fontId="20" fillId="0" borderId="93" xfId="0" applyNumberFormat="1" applyFont="1" applyBorder="1" applyAlignment="1">
      <alignment horizontal="center"/>
    </xf>
    <xf numFmtId="2" fontId="0" fillId="0" borderId="94" xfId="0" applyNumberFormat="1" applyBorder="1" applyAlignment="1">
      <alignment horizontal="center"/>
    </xf>
    <xf numFmtId="2" fontId="0" fillId="0" borderId="95" xfId="0" applyNumberFormat="1" applyBorder="1" applyAlignment="1">
      <alignment horizontal="center"/>
    </xf>
    <xf numFmtId="2" fontId="0" fillId="0" borderId="96" xfId="0" applyNumberFormat="1" applyBorder="1" applyAlignment="1">
      <alignment horizontal="center"/>
    </xf>
    <xf numFmtId="165" fontId="20" fillId="0" borderId="97" xfId="0" applyNumberFormat="1" applyFont="1" applyBorder="1" applyAlignment="1">
      <alignment horizontal="center"/>
    </xf>
    <xf numFmtId="2" fontId="0" fillId="0" borderId="98" xfId="0" applyNumberFormat="1" applyBorder="1" applyAlignment="1">
      <alignment horizontal="center"/>
    </xf>
    <xf numFmtId="2" fontId="0" fillId="0" borderId="99" xfId="0" applyNumberFormat="1" applyBorder="1" applyAlignment="1">
      <alignment horizontal="center"/>
    </xf>
    <xf numFmtId="2" fontId="0" fillId="0" borderId="100" xfId="0" applyNumberForma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165" fontId="20" fillId="0" borderId="101" xfId="0" applyNumberFormat="1" applyFont="1" applyBorder="1" applyAlignment="1">
      <alignment horizontal="center"/>
    </xf>
    <xf numFmtId="2" fontId="20" fillId="0" borderId="102" xfId="0" applyNumberFormat="1" applyFont="1" applyBorder="1" applyAlignment="1">
      <alignment horizontal="center"/>
    </xf>
    <xf numFmtId="165" fontId="20" fillId="0" borderId="103" xfId="0" applyNumberFormat="1" applyFon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5" fontId="20" fillId="0" borderId="104" xfId="0" applyNumberFormat="1" applyFon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0" fontId="20" fillId="0" borderId="0" xfId="0" applyFont="1" applyAlignment="1">
      <alignment horizontal="right"/>
    </xf>
    <xf numFmtId="165" fontId="20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/>
    </xf>
    <xf numFmtId="165" fontId="20" fillId="0" borderId="105" xfId="0" applyNumberFormat="1" applyFon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48" xfId="0" applyFont="1" applyBorder="1" applyAlignment="1">
      <alignment horizontal="right"/>
    </xf>
    <xf numFmtId="0" fontId="0" fillId="0" borderId="52" xfId="0" applyFont="1" applyBorder="1" applyAlignment="1">
      <alignment horizontal="right"/>
    </xf>
    <xf numFmtId="0" fontId="0" fillId="0" borderId="49" xfId="0" applyFont="1" applyBorder="1" applyAlignment="1">
      <alignment horizontal="right"/>
    </xf>
    <xf numFmtId="0" fontId="0" fillId="0" borderId="100" xfId="0" applyBorder="1" applyAlignment="1">
      <alignment/>
    </xf>
    <xf numFmtId="0" fontId="0" fillId="0" borderId="92" xfId="0" applyBorder="1" applyAlignment="1">
      <alignment/>
    </xf>
    <xf numFmtId="0" fontId="0" fillId="0" borderId="88" xfId="0" applyBorder="1" applyAlignment="1">
      <alignment/>
    </xf>
    <xf numFmtId="0" fontId="0" fillId="0" borderId="86" xfId="0" applyBorder="1" applyAlignment="1">
      <alignment/>
    </xf>
    <xf numFmtId="0" fontId="0" fillId="0" borderId="90" xfId="0" applyBorder="1" applyAlignment="1">
      <alignment/>
    </xf>
    <xf numFmtId="0" fontId="0" fillId="0" borderId="98" xfId="0" applyBorder="1" applyAlignment="1">
      <alignment/>
    </xf>
    <xf numFmtId="0" fontId="0" fillId="0" borderId="85" xfId="0" applyBorder="1" applyAlignment="1">
      <alignment/>
    </xf>
    <xf numFmtId="0" fontId="0" fillId="0" borderId="89" xfId="0" applyBorder="1" applyAlignment="1">
      <alignment/>
    </xf>
    <xf numFmtId="0" fontId="0" fillId="0" borderId="97" xfId="0" applyBorder="1" applyAlignment="1">
      <alignment/>
    </xf>
    <xf numFmtId="0" fontId="20" fillId="0" borderId="35" xfId="0" applyFont="1" applyBorder="1" applyAlignment="1">
      <alignment horizontal="center" wrapText="1"/>
    </xf>
    <xf numFmtId="0" fontId="20" fillId="0" borderId="72" xfId="0" applyFont="1" applyBorder="1" applyAlignment="1">
      <alignment horizontal="center" wrapText="1"/>
    </xf>
    <xf numFmtId="0" fontId="20" fillId="0" borderId="53" xfId="0" applyFont="1" applyBorder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" xfId="50"/>
    <cellStyle name="Percent" xfId="51"/>
    <cellStyle name="Satisfaisant" xfId="52"/>
    <cellStyle name="Sortie" xfId="53"/>
    <cellStyle name="Texte explicatif" xfId="54"/>
    <cellStyle name="Titre 1" xfId="55"/>
    <cellStyle name="Titre 1 1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Voitures!$F$4</c:f>
              <c:strCache>
                <c:ptCount val="1"/>
                <c:pt idx="0">
                  <c:v>Part de marché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Voitures!$B$5:$B$16</c:f>
              <c:strCache>
                <c:ptCount val="12"/>
                <c:pt idx="0">
                  <c:v>1. PSA Peugeot Citroën </c:v>
                </c:pt>
                <c:pt idx="1">
                  <c:v>2. Renault </c:v>
                </c:pt>
                <c:pt idx="2">
                  <c:v>3. Volkswagen </c:v>
                </c:pt>
                <c:pt idx="3">
                  <c:v>4. Ford </c:v>
                </c:pt>
                <c:pt idx="4">
                  <c:v>5. General Motors </c:v>
                </c:pt>
                <c:pt idx="5">
                  <c:v>6. Toyota </c:v>
                </c:pt>
                <c:pt idx="6">
                  <c:v>7. Daimler-Chrysler </c:v>
                </c:pt>
                <c:pt idx="7">
                  <c:v>8. Fiat </c:v>
                </c:pt>
                <c:pt idx="8">
                  <c:v>9. BMW </c:v>
                </c:pt>
                <c:pt idx="9">
                  <c:v>10. Nissan </c:v>
                </c:pt>
                <c:pt idx="10">
                  <c:v>11. Hyundaï </c:v>
                </c:pt>
                <c:pt idx="11">
                  <c:v>12, Autres</c:v>
                </c:pt>
              </c:strCache>
            </c:strRef>
          </c:cat>
          <c:val>
            <c:numRef>
              <c:f>Voitures!$F$5:$F$16</c:f>
              <c:numCache>
                <c:ptCount val="12"/>
                <c:pt idx="0">
                  <c:v>0.3104392316305642</c:v>
                </c:pt>
                <c:pt idx="1">
                  <c:v>0.26774130344776836</c:v>
                </c:pt>
                <c:pt idx="2">
                  <c:v>0.09989653769193056</c:v>
                </c:pt>
                <c:pt idx="3">
                  <c:v>0.0621084146684197</c:v>
                </c:pt>
                <c:pt idx="4">
                  <c:v>0.05859406514667799</c:v>
                </c:pt>
                <c:pt idx="5">
                  <c:v>0.040407926968199746</c:v>
                </c:pt>
                <c:pt idx="6">
                  <c:v>0.03534651894104954</c:v>
                </c:pt>
                <c:pt idx="7">
                  <c:v>0.0308773373217004</c:v>
                </c:pt>
                <c:pt idx="8">
                  <c:v>0.02465364064091664</c:v>
                </c:pt>
                <c:pt idx="9">
                  <c:v>0.019724331019099303</c:v>
                </c:pt>
                <c:pt idx="10">
                  <c:v>0.012970467584026554</c:v>
                </c:pt>
                <c:pt idx="11">
                  <c:v>0.03724022493964699</c:v>
                </c:pt>
              </c:numCache>
            </c:numRef>
          </c:val>
        </c:ser>
        <c:ser>
          <c:idx val="1"/>
          <c:order val="1"/>
          <c:tx>
            <c:strRef>
              <c:f>Voitures!$G$4</c:f>
              <c:strCache>
                <c:ptCount val="1"/>
                <c:pt idx="0">
                  <c:v>P,cumulées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Voitures!$B$5:$B$16</c:f>
              <c:strCache>
                <c:ptCount val="12"/>
                <c:pt idx="0">
                  <c:v>1. PSA Peugeot Citroën </c:v>
                </c:pt>
                <c:pt idx="1">
                  <c:v>2. Renault </c:v>
                </c:pt>
                <c:pt idx="2">
                  <c:v>3. Volkswagen </c:v>
                </c:pt>
                <c:pt idx="3">
                  <c:v>4. Ford </c:v>
                </c:pt>
                <c:pt idx="4">
                  <c:v>5. General Motors </c:v>
                </c:pt>
                <c:pt idx="5">
                  <c:v>6. Toyota </c:v>
                </c:pt>
                <c:pt idx="6">
                  <c:v>7. Daimler-Chrysler </c:v>
                </c:pt>
                <c:pt idx="7">
                  <c:v>8. Fiat </c:v>
                </c:pt>
                <c:pt idx="8">
                  <c:v>9. BMW </c:v>
                </c:pt>
                <c:pt idx="9">
                  <c:v>10. Nissan </c:v>
                </c:pt>
                <c:pt idx="10">
                  <c:v>11. Hyundaï </c:v>
                </c:pt>
                <c:pt idx="11">
                  <c:v>12, Autres</c:v>
                </c:pt>
              </c:strCache>
            </c:strRef>
          </c:cat>
          <c:val>
            <c:numRef>
              <c:f>Voitures!$G$5:$G$16</c:f>
              <c:numCache>
                <c:ptCount val="12"/>
                <c:pt idx="0">
                  <c:v>0.3104392316305642</c:v>
                </c:pt>
                <c:pt idx="1">
                  <c:v>0.5781805350783326</c:v>
                </c:pt>
                <c:pt idx="2">
                  <c:v>0.6780770727702631</c:v>
                </c:pt>
                <c:pt idx="3">
                  <c:v>0.7401854874386827</c:v>
                </c:pt>
                <c:pt idx="4">
                  <c:v>0.7987795525853607</c:v>
                </c:pt>
                <c:pt idx="5">
                  <c:v>0.8391874795535604</c:v>
                </c:pt>
                <c:pt idx="6">
                  <c:v>0.87453399849461</c:v>
                </c:pt>
                <c:pt idx="7">
                  <c:v>0.9054113358163104</c:v>
                </c:pt>
                <c:pt idx="8">
                  <c:v>0.9300649764572271</c:v>
                </c:pt>
                <c:pt idx="9">
                  <c:v>0.9497893074763264</c:v>
                </c:pt>
                <c:pt idx="10">
                  <c:v>0.9627597750603529</c:v>
                </c:pt>
                <c:pt idx="11">
                  <c:v>1</c:v>
                </c:pt>
              </c:numCache>
            </c:numRef>
          </c:val>
        </c:ser>
        <c:axId val="63921716"/>
        <c:axId val="38424533"/>
      </c:barChart>
      <c:catAx>
        <c:axId val="6392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24533"/>
        <c:crossesAt val="0"/>
        <c:auto val="1"/>
        <c:lblOffset val="100"/>
        <c:noMultiLvlLbl val="0"/>
      </c:catAx>
      <c:valAx>
        <c:axId val="3842453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0.00%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21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3175">
      <a:noFill/>
    </a:ln>
  </c:sp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Fréquences cumulées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freq2!$E$5:$E$10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freq2!$I$5:$I$10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4750852"/>
        <c:axId val="104485"/>
      </c:scatterChart>
      <c:valAx>
        <c:axId val="44750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Surfaces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485"/>
        <c:crosses val="autoZero"/>
        <c:crossBetween val="midCat"/>
        <c:dispUnits/>
      </c:valAx>
      <c:valAx>
        <c:axId val="104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Fc(i)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508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Fréquences (rectifiées)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freq2!$U$4</c:f>
              <c:strCache>
                <c:ptCount val="1"/>
                <c:pt idx="0">
                  <c:v>fri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freq2!$T$5:$T$12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freq2!$U$5:$U$12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940366"/>
        <c:axId val="8463295"/>
      </c:scatterChart>
      <c:valAx>
        <c:axId val="940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Salaires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63295"/>
        <c:crosses val="autoZero"/>
        <c:crossBetween val="midCat"/>
        <c:dispUnits/>
      </c:valAx>
      <c:valAx>
        <c:axId val="8463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Fr(i)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03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Fréquences cumulées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freq2!$R$4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freq2!$O$5:$O$12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freq2!$R$5:$R$12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9060792"/>
        <c:axId val="14438265"/>
      </c:scatterChart>
      <c:valAx>
        <c:axId val="9060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Salaires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38265"/>
        <c:crosses val="autoZero"/>
        <c:crossBetween val="midCat"/>
        <c:dispUnits/>
      </c:valAx>
      <c:valAx>
        <c:axId val="14438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Fc(i)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607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'Con Sol'!$K$6</c:f>
              <c:strCache>
                <c:ptCount val="1"/>
                <c:pt idx="0">
                  <c:v>totc rel 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'Con Sol'!$H$7:$H$14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'Con Sol'!$K$7:$K$14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'Con Sol'!$L$6</c:f>
              <c:strCache>
                <c:ptCount val="1"/>
                <c:pt idx="0">
                  <c:v>fc 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 Sol'!$H$7:$H$14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'Con Sol'!$L$7:$L$14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62835522"/>
        <c:axId val="28648787"/>
      </c:scatterChart>
      <c:valAx>
        <c:axId val="628355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48787"/>
        <c:crosses val="autoZero"/>
        <c:crossBetween val="midCat"/>
        <c:dispUnits/>
      </c:valAx>
      <c:valAx>
        <c:axId val="28648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355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'Con Sol'!$R$6</c:f>
              <c:strCache>
                <c:ptCount val="1"/>
                <c:pt idx="0">
                  <c:v>totc rel B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'Con Sol'!$O$7:$O$14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'Con Sol'!$R$7:$R$14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'Con Sol'!$S$6</c:f>
              <c:strCache>
                <c:ptCount val="1"/>
                <c:pt idx="0">
                  <c:v>fc B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 Sol'!$O$7:$O$14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'Con Sol'!$S$7:$S$14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56512492"/>
        <c:axId val="38850381"/>
      </c:scatterChart>
      <c:valAx>
        <c:axId val="565124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50381"/>
        <c:crosses val="autoZero"/>
        <c:crossBetween val="midCat"/>
        <c:dispUnits/>
      </c:valAx>
      <c:valAx>
        <c:axId val="388503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124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Diagramme de fréquences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Feuille45!$K$95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Feuille45!$J$96:$J$101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Feuille45!$K$96:$K$101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4109110"/>
        <c:axId val="59873127"/>
      </c:scatterChart>
      <c:valAx>
        <c:axId val="14109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73127"/>
        <c:crosses val="autoZero"/>
        <c:crossBetween val="midCat"/>
        <c:dispUnits/>
      </c:valAx>
      <c:valAx>
        <c:axId val="598731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091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Courbe de Gini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Feuille45!$I$106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Feuille45!$H$107:$H$113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Feuille45!$I$107:$I$113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Feuille45!$J$106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Feuille45!$H$107:$H$113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Feuille45!$J$107:$J$113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1987232"/>
        <c:axId val="17885089"/>
      </c:scatterChart>
      <c:valAx>
        <c:axId val="19872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85089"/>
        <c:crosses val="autoZero"/>
        <c:crossBetween val="midCat"/>
        <c:dispUnits/>
      </c:valAx>
      <c:valAx>
        <c:axId val="178850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72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Diagramme des fréquences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Feuille46!$J$86:$J$90</c:f>
              <c:numCache>
                <c:ptCount val="5"/>
              </c:numCache>
            </c:numRef>
          </c:xVal>
          <c:yVal>
            <c:numRef>
              <c:f>Feuille46!$K$86:$K$90</c:f>
              <c:numCache>
                <c:ptCount val="5"/>
              </c:numCache>
            </c:numRef>
          </c:yVal>
          <c:smooth val="0"/>
        </c:ser>
        <c:axId val="26748074"/>
        <c:axId val="39406075"/>
      </c:scatterChart>
      <c:valAx>
        <c:axId val="26748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06075"/>
        <c:crosses val="autoZero"/>
        <c:crossBetween val="midCat"/>
        <c:dispUnits/>
      </c:valAx>
      <c:valAx>
        <c:axId val="394060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480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Feuille46!$G$99:$G$104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Feuille46!$H$99:$H$104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Feuille46!$G$99:$G$104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Feuille46!$I$99:$I$104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9110356"/>
        <c:axId val="37775477"/>
      </c:scatterChart>
      <c:valAx>
        <c:axId val="191103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75477"/>
        <c:crosses val="autoZero"/>
        <c:crossBetween val="midCat"/>
        <c:dispUnits/>
      </c:valAx>
      <c:valAx>
        <c:axId val="377754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103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Courbe de Gini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Feuille47!$I$14:$I$19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0.5</c:v>
                </c:pt>
                <c:pt idx="3">
                  <c:v>0.9</c:v>
                </c:pt>
                <c:pt idx="4">
                  <c:v>0.98</c:v>
                </c:pt>
                <c:pt idx="5">
                  <c:v>1</c:v>
                </c:pt>
              </c:numCache>
            </c:numRef>
          </c:xVal>
          <c:yVal>
            <c:numRef>
              <c:f>Feuille47!$J$14:$J$19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0.5</c:v>
                </c:pt>
                <c:pt idx="3">
                  <c:v>0.9</c:v>
                </c:pt>
                <c:pt idx="4">
                  <c:v>0.98</c:v>
                </c:pt>
                <c:pt idx="5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Feuille47!$I$14:$I$19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0.5</c:v>
                </c:pt>
                <c:pt idx="3">
                  <c:v>0.9</c:v>
                </c:pt>
                <c:pt idx="4">
                  <c:v>0.98</c:v>
                </c:pt>
                <c:pt idx="5">
                  <c:v>1</c:v>
                </c:pt>
              </c:numCache>
            </c:numRef>
          </c:xVal>
          <c:yVal>
            <c:numRef>
              <c:f>Feuille47!$K$14:$K$19</c:f>
              <c:numCache>
                <c:ptCount val="6"/>
                <c:pt idx="0">
                  <c:v>0</c:v>
                </c:pt>
                <c:pt idx="1">
                  <c:v>0.05</c:v>
                </c:pt>
                <c:pt idx="2">
                  <c:v>0.2</c:v>
                </c:pt>
                <c:pt idx="3">
                  <c:v>0.7</c:v>
                </c:pt>
                <c:pt idx="4">
                  <c:v>0.9</c:v>
                </c:pt>
                <c:pt idx="5">
                  <c:v>1</c:v>
                </c:pt>
              </c:numCache>
            </c:numRef>
          </c:yVal>
          <c:smooth val="0"/>
        </c:ser>
        <c:axId val="4434974"/>
        <c:axId val="39914767"/>
      </c:scatterChart>
      <c:valAx>
        <c:axId val="44349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14767"/>
        <c:crosses val="autoZero"/>
        <c:crossBetween val="midCat"/>
        <c:dispUnits/>
      </c:valAx>
      <c:valAx>
        <c:axId val="39914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49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CCF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/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/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/>
              </a:ln>
            </c:spPr>
          </c:dPt>
          <c:dPt>
            <c:idx val="11"/>
            <c:spPr>
              <a:solidFill>
                <a:srgbClr val="00FFFF"/>
              </a:solidFill>
              <a:ln w="3175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Voitures!$B$5:$B$16</c:f>
              <c:strCache>
                <c:ptCount val="12"/>
                <c:pt idx="0">
                  <c:v>1. PSA Peugeot Citroën </c:v>
                </c:pt>
                <c:pt idx="1">
                  <c:v>2. Renault </c:v>
                </c:pt>
                <c:pt idx="2">
                  <c:v>3. Volkswagen </c:v>
                </c:pt>
                <c:pt idx="3">
                  <c:v>4. Ford </c:v>
                </c:pt>
                <c:pt idx="4">
                  <c:v>5. General Motors </c:v>
                </c:pt>
                <c:pt idx="5">
                  <c:v>6. Toyota </c:v>
                </c:pt>
                <c:pt idx="6">
                  <c:v>7. Daimler-Chrysler </c:v>
                </c:pt>
                <c:pt idx="7">
                  <c:v>8. Fiat </c:v>
                </c:pt>
                <c:pt idx="8">
                  <c:v>9. BMW </c:v>
                </c:pt>
                <c:pt idx="9">
                  <c:v>10. Nissan </c:v>
                </c:pt>
                <c:pt idx="10">
                  <c:v>11. Hyundaï </c:v>
                </c:pt>
                <c:pt idx="11">
                  <c:v>12, Autres</c:v>
                </c:pt>
              </c:strCache>
            </c:strRef>
          </c:cat>
          <c:val>
            <c:numRef>
              <c:f>Voitures!$C$5:$C$16</c:f>
              <c:numCache>
                <c:ptCount val="12"/>
                <c:pt idx="0">
                  <c:v>350159</c:v>
                </c:pt>
                <c:pt idx="1">
                  <c:v>301998</c:v>
                </c:pt>
                <c:pt idx="2">
                  <c:v>112678</c:v>
                </c:pt>
                <c:pt idx="3">
                  <c:v>70055</c:v>
                </c:pt>
                <c:pt idx="4">
                  <c:v>66091</c:v>
                </c:pt>
                <c:pt idx="5">
                  <c:v>45578</c:v>
                </c:pt>
                <c:pt idx="6">
                  <c:v>39869</c:v>
                </c:pt>
                <c:pt idx="7">
                  <c:v>34828</c:v>
                </c:pt>
                <c:pt idx="8">
                  <c:v>27808</c:v>
                </c:pt>
                <c:pt idx="9">
                  <c:v>22248</c:v>
                </c:pt>
                <c:pt idx="10">
                  <c:v>14630</c:v>
                </c:pt>
                <c:pt idx="11">
                  <c:v>42005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Niveau!$C$4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Niveau!$B$5:$B$10</c:f>
              <c:strCache>
                <c:ptCount val="6"/>
                <c:pt idx="0">
                  <c:v>18 à 29 ans </c:v>
                </c:pt>
                <c:pt idx="1">
                  <c:v>30 à 39 ans</c:v>
                </c:pt>
                <c:pt idx="2">
                  <c:v>40 à 49 ans</c:v>
                </c:pt>
                <c:pt idx="3">
                  <c:v>50 à 59 ans</c:v>
                </c:pt>
                <c:pt idx="4">
                  <c:v>60 à 69 ans</c:v>
                </c:pt>
                <c:pt idx="5">
                  <c:v>70 ans et plus</c:v>
                </c:pt>
              </c:strCache>
            </c:strRef>
          </c:cat>
          <c:val>
            <c:numRef>
              <c:f>Niveau!$C$5:$C$10</c:f>
              <c:numCache>
                <c:ptCount val="6"/>
                <c:pt idx="0">
                  <c:v>16852</c:v>
                </c:pt>
                <c:pt idx="1">
                  <c:v>17531</c:v>
                </c:pt>
                <c:pt idx="2">
                  <c:v>18646</c:v>
                </c:pt>
                <c:pt idx="3">
                  <c:v>20337</c:v>
                </c:pt>
                <c:pt idx="4">
                  <c:v>17344</c:v>
                </c:pt>
                <c:pt idx="5">
                  <c:v>16150</c:v>
                </c:pt>
              </c:numCache>
            </c:numRef>
          </c:val>
        </c:ser>
        <c:ser>
          <c:idx val="1"/>
          <c:order val="1"/>
          <c:tx>
            <c:strRef>
              <c:f>Niveau!$D$4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Niveau!$B$5:$B$10</c:f>
              <c:strCache>
                <c:ptCount val="6"/>
                <c:pt idx="0">
                  <c:v>18 à 29 ans </c:v>
                </c:pt>
                <c:pt idx="1">
                  <c:v>30 à 39 ans</c:v>
                </c:pt>
                <c:pt idx="2">
                  <c:v>40 à 49 ans</c:v>
                </c:pt>
                <c:pt idx="3">
                  <c:v>50 à 59 ans</c:v>
                </c:pt>
                <c:pt idx="4">
                  <c:v>60 à 69 ans</c:v>
                </c:pt>
                <c:pt idx="5">
                  <c:v>70 ans et plus</c:v>
                </c:pt>
              </c:strCache>
            </c:strRef>
          </c:cat>
          <c:val>
            <c:numRef>
              <c:f>Niveau!$D$5:$D$10</c:f>
              <c:numCache>
                <c:ptCount val="6"/>
                <c:pt idx="0">
                  <c:v>16606</c:v>
                </c:pt>
                <c:pt idx="1">
                  <c:v>17585</c:v>
                </c:pt>
                <c:pt idx="2">
                  <c:v>18459</c:v>
                </c:pt>
                <c:pt idx="3">
                  <c:v>20925</c:v>
                </c:pt>
                <c:pt idx="4">
                  <c:v>18318</c:v>
                </c:pt>
                <c:pt idx="5">
                  <c:v>16522</c:v>
                </c:pt>
              </c:numCache>
            </c:numRef>
          </c:val>
        </c:ser>
        <c:axId val="10276478"/>
        <c:axId val="25379439"/>
      </c:barChart>
      <c:catAx>
        <c:axId val="1027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79439"/>
        <c:crossesAt val="0"/>
        <c:auto val="1"/>
        <c:lblOffset val="100"/>
        <c:noMultiLvlLbl val="0"/>
      </c:catAx>
      <c:valAx>
        <c:axId val="2537943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76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Pyramides
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Population!$G$30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Population!$F$31:$F$38</c:f>
              <c:strCache>
                <c:ptCount val="8"/>
                <c:pt idx="0">
                  <c:v>Moins de 15 ans</c:v>
                </c:pt>
                <c:pt idx="1">
                  <c:v>15-24 ans</c:v>
                </c:pt>
                <c:pt idx="2">
                  <c:v>25-34 ans</c:v>
                </c:pt>
                <c:pt idx="3">
                  <c:v>35-44 ans</c:v>
                </c:pt>
                <c:pt idx="4">
                  <c:v>45-54 ans</c:v>
                </c:pt>
                <c:pt idx="5">
                  <c:v>55-64 ans</c:v>
                </c:pt>
                <c:pt idx="6">
                  <c:v>65-74 ans</c:v>
                </c:pt>
                <c:pt idx="7">
                  <c:v>75 ans ou plus</c:v>
                </c:pt>
              </c:strCache>
            </c:strRef>
          </c:cat>
          <c:val>
            <c:numRef>
              <c:f>Population!$G$31:$G$38</c:f>
              <c:numCache>
                <c:ptCount val="8"/>
                <c:pt idx="0">
                  <c:v>-11.666666666666666</c:v>
                </c:pt>
                <c:pt idx="1">
                  <c:v>-12.3</c:v>
                </c:pt>
                <c:pt idx="2">
                  <c:v>-12.8</c:v>
                </c:pt>
                <c:pt idx="3">
                  <c:v>-14</c:v>
                </c:pt>
                <c:pt idx="4">
                  <c:v>-13.6</c:v>
                </c:pt>
                <c:pt idx="5">
                  <c:v>-11.1</c:v>
                </c:pt>
                <c:pt idx="6">
                  <c:v>-8.6</c:v>
                </c:pt>
                <c:pt idx="7">
                  <c:v>-5.05</c:v>
                </c:pt>
              </c:numCache>
            </c:numRef>
          </c:val>
        </c:ser>
        <c:ser>
          <c:idx val="1"/>
          <c:order val="1"/>
          <c:tx>
            <c:strRef>
              <c:f>Population!$H$30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Population!$F$31:$F$38</c:f>
              <c:strCache>
                <c:ptCount val="8"/>
                <c:pt idx="0">
                  <c:v>Moins de 15 ans</c:v>
                </c:pt>
                <c:pt idx="1">
                  <c:v>15-24 ans</c:v>
                </c:pt>
                <c:pt idx="2">
                  <c:v>25-34 ans</c:v>
                </c:pt>
                <c:pt idx="3">
                  <c:v>35-44 ans</c:v>
                </c:pt>
                <c:pt idx="4">
                  <c:v>45-54 ans</c:v>
                </c:pt>
                <c:pt idx="5">
                  <c:v>55-64 ans</c:v>
                </c:pt>
                <c:pt idx="6">
                  <c:v>65-74 ans</c:v>
                </c:pt>
                <c:pt idx="7">
                  <c:v>75 ans ou plus</c:v>
                </c:pt>
              </c:strCache>
            </c:strRef>
          </c:cat>
          <c:val>
            <c:numRef>
              <c:f>Population!$H$31:$H$38</c:f>
              <c:numCache>
                <c:ptCount val="8"/>
                <c:pt idx="0">
                  <c:v>12.933333333333334</c:v>
                </c:pt>
                <c:pt idx="1">
                  <c:v>13.4</c:v>
                </c:pt>
                <c:pt idx="2">
                  <c:v>13.6</c:v>
                </c:pt>
                <c:pt idx="3">
                  <c:v>14.5</c:v>
                </c:pt>
                <c:pt idx="4">
                  <c:v>13.8</c:v>
                </c:pt>
                <c:pt idx="5">
                  <c:v>11.4</c:v>
                </c:pt>
                <c:pt idx="6">
                  <c:v>7.7</c:v>
                </c:pt>
                <c:pt idx="7">
                  <c:v>3.1</c:v>
                </c:pt>
              </c:numCache>
            </c:numRef>
          </c:val>
        </c:ser>
        <c:overlap val="100"/>
        <c:gapWidth val="0"/>
        <c:axId val="27088360"/>
        <c:axId val="42468649"/>
      </c:barChart>
      <c:catAx>
        <c:axId val="270883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68649"/>
        <c:crossesAt val="0"/>
        <c:auto val="1"/>
        <c:lblOffset val="100"/>
        <c:noMultiLvlLbl val="0"/>
      </c:catAx>
      <c:valAx>
        <c:axId val="42468649"/>
        <c:scaling>
          <c:orientation val="minMax"/>
        </c:scaling>
        <c:axPos val="b"/>
        <c:majorGridlines>
          <c:spPr>
            <a:ln w="12700">
              <a:solidFill/>
            </a:ln>
          </c:spPr>
        </c:majorGridlines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88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Salaires!$F$5</c:f>
              <c:strCache>
                <c:ptCount val="1"/>
                <c:pt idx="0">
                  <c:v>Cadres *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Salaires!$B$6:$B$28</c:f>
              <c:strCache>
                <c:ptCount val="23"/>
                <c:pt idx="0">
                  <c:v>Alsace</c:v>
                </c:pt>
                <c:pt idx="1">
                  <c:v>Aquitaine</c:v>
                </c:pt>
                <c:pt idx="2">
                  <c:v>Auvergne</c:v>
                </c:pt>
                <c:pt idx="3">
                  <c:v>Basse-Normandie</c:v>
                </c:pt>
                <c:pt idx="4">
                  <c:v>Bourgogne</c:v>
                </c:pt>
                <c:pt idx="5">
                  <c:v>Bretagne</c:v>
                </c:pt>
                <c:pt idx="6">
                  <c:v>Centre</c:v>
                </c:pt>
                <c:pt idx="7">
                  <c:v>Champagne-Ardenne</c:v>
                </c:pt>
                <c:pt idx="8">
                  <c:v>Corse</c:v>
                </c:pt>
                <c:pt idx="9">
                  <c:v>Franche-Comte</c:v>
                </c:pt>
                <c:pt idx="10">
                  <c:v>Haute-Normandie</c:v>
                </c:pt>
                <c:pt idx="11">
                  <c:v>Ile-de-France</c:v>
                </c:pt>
                <c:pt idx="12">
                  <c:v>Languedoc-Roussillon</c:v>
                </c:pt>
                <c:pt idx="13">
                  <c:v>Limousin</c:v>
                </c:pt>
                <c:pt idx="14">
                  <c:v>Lorraine</c:v>
                </c:pt>
                <c:pt idx="15">
                  <c:v>Midi-Pyrenees</c:v>
                </c:pt>
                <c:pt idx="16">
                  <c:v>Nord-Pas-de-Calais</c:v>
                </c:pt>
                <c:pt idx="17">
                  <c:v>Pays de la Loire</c:v>
                </c:pt>
                <c:pt idx="18">
                  <c:v>Picardie</c:v>
                </c:pt>
                <c:pt idx="19">
                  <c:v>Poitou-Charentes</c:v>
                </c:pt>
                <c:pt idx="20">
                  <c:v>Provence-Alpes-Cote d'Azur</c:v>
                </c:pt>
                <c:pt idx="21">
                  <c:v>Rhone-Alpes</c:v>
                </c:pt>
                <c:pt idx="22">
                  <c:v>Metropole</c:v>
                </c:pt>
              </c:strCache>
            </c:strRef>
          </c:cat>
          <c:val>
            <c:numRef>
              <c:f>Salaires!$F$6:$F$28</c:f>
              <c:numCache>
                <c:ptCount val="23"/>
                <c:pt idx="0">
                  <c:v>38505</c:v>
                </c:pt>
                <c:pt idx="1">
                  <c:v>38625</c:v>
                </c:pt>
                <c:pt idx="2">
                  <c:v>38984</c:v>
                </c:pt>
                <c:pt idx="3">
                  <c:v>37541</c:v>
                </c:pt>
                <c:pt idx="4">
                  <c:v>38427</c:v>
                </c:pt>
                <c:pt idx="5">
                  <c:v>37693</c:v>
                </c:pt>
                <c:pt idx="6">
                  <c:v>38166</c:v>
                </c:pt>
                <c:pt idx="7">
                  <c:v>37925</c:v>
                </c:pt>
                <c:pt idx="8">
                  <c:v>36562</c:v>
                </c:pt>
                <c:pt idx="9">
                  <c:v>37374</c:v>
                </c:pt>
                <c:pt idx="10">
                  <c:v>38410</c:v>
                </c:pt>
                <c:pt idx="11">
                  <c:v>47224</c:v>
                </c:pt>
                <c:pt idx="12">
                  <c:v>37495</c:v>
                </c:pt>
                <c:pt idx="13">
                  <c:v>37246</c:v>
                </c:pt>
                <c:pt idx="14">
                  <c:v>37953</c:v>
                </c:pt>
                <c:pt idx="15">
                  <c:v>37723</c:v>
                </c:pt>
                <c:pt idx="16">
                  <c:v>37767</c:v>
                </c:pt>
                <c:pt idx="17">
                  <c:v>38816</c:v>
                </c:pt>
                <c:pt idx="18">
                  <c:v>39404</c:v>
                </c:pt>
                <c:pt idx="19">
                  <c:v>37713</c:v>
                </c:pt>
                <c:pt idx="20">
                  <c:v>39376</c:v>
                </c:pt>
                <c:pt idx="21">
                  <c:v>40298</c:v>
                </c:pt>
                <c:pt idx="22">
                  <c:v>42318</c:v>
                </c:pt>
              </c:numCache>
            </c:numRef>
          </c:val>
        </c:ser>
        <c:ser>
          <c:idx val="1"/>
          <c:order val="1"/>
          <c:tx>
            <c:strRef>
              <c:f>Salaires!$G$5</c:f>
              <c:strCache>
                <c:ptCount val="1"/>
                <c:pt idx="0">
                  <c:v>Prof,inter,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Salaires!$B$6:$B$28</c:f>
              <c:strCache>
                <c:ptCount val="23"/>
                <c:pt idx="0">
                  <c:v>Alsace</c:v>
                </c:pt>
                <c:pt idx="1">
                  <c:v>Aquitaine</c:v>
                </c:pt>
                <c:pt idx="2">
                  <c:v>Auvergne</c:v>
                </c:pt>
                <c:pt idx="3">
                  <c:v>Basse-Normandie</c:v>
                </c:pt>
                <c:pt idx="4">
                  <c:v>Bourgogne</c:v>
                </c:pt>
                <c:pt idx="5">
                  <c:v>Bretagne</c:v>
                </c:pt>
                <c:pt idx="6">
                  <c:v>Centre</c:v>
                </c:pt>
                <c:pt idx="7">
                  <c:v>Champagne-Ardenne</c:v>
                </c:pt>
                <c:pt idx="8">
                  <c:v>Corse</c:v>
                </c:pt>
                <c:pt idx="9">
                  <c:v>Franche-Comte</c:v>
                </c:pt>
                <c:pt idx="10">
                  <c:v>Haute-Normandie</c:v>
                </c:pt>
                <c:pt idx="11">
                  <c:v>Ile-de-France</c:v>
                </c:pt>
                <c:pt idx="12">
                  <c:v>Languedoc-Roussillon</c:v>
                </c:pt>
                <c:pt idx="13">
                  <c:v>Limousin</c:v>
                </c:pt>
                <c:pt idx="14">
                  <c:v>Lorraine</c:v>
                </c:pt>
                <c:pt idx="15">
                  <c:v>Midi-Pyrenees</c:v>
                </c:pt>
                <c:pt idx="16">
                  <c:v>Nord-Pas-de-Calais</c:v>
                </c:pt>
                <c:pt idx="17">
                  <c:v>Pays de la Loire</c:v>
                </c:pt>
                <c:pt idx="18">
                  <c:v>Picardie</c:v>
                </c:pt>
                <c:pt idx="19">
                  <c:v>Poitou-Charentes</c:v>
                </c:pt>
                <c:pt idx="20">
                  <c:v>Provence-Alpes-Cote d'Azur</c:v>
                </c:pt>
                <c:pt idx="21">
                  <c:v>Rhone-Alpes</c:v>
                </c:pt>
                <c:pt idx="22">
                  <c:v>Metropole</c:v>
                </c:pt>
              </c:strCache>
            </c:strRef>
          </c:cat>
          <c:val>
            <c:numRef>
              <c:f>Salaires!$G$6:$G$28</c:f>
              <c:numCache>
                <c:ptCount val="23"/>
                <c:pt idx="0">
                  <c:v>21473</c:v>
                </c:pt>
                <c:pt idx="1">
                  <c:v>21430</c:v>
                </c:pt>
                <c:pt idx="2">
                  <c:v>20862</c:v>
                </c:pt>
                <c:pt idx="3">
                  <c:v>20841</c:v>
                </c:pt>
                <c:pt idx="4">
                  <c:v>21230</c:v>
                </c:pt>
                <c:pt idx="5">
                  <c:v>20869</c:v>
                </c:pt>
                <c:pt idx="6">
                  <c:v>21097</c:v>
                </c:pt>
                <c:pt idx="7">
                  <c:v>21374</c:v>
                </c:pt>
                <c:pt idx="8">
                  <c:v>21609</c:v>
                </c:pt>
                <c:pt idx="9">
                  <c:v>21880</c:v>
                </c:pt>
                <c:pt idx="10">
                  <c:v>22190</c:v>
                </c:pt>
                <c:pt idx="11">
                  <c:v>22900</c:v>
                </c:pt>
                <c:pt idx="12">
                  <c:v>20786</c:v>
                </c:pt>
                <c:pt idx="13">
                  <c:v>20223</c:v>
                </c:pt>
                <c:pt idx="14">
                  <c:v>21656</c:v>
                </c:pt>
                <c:pt idx="15">
                  <c:v>20893</c:v>
                </c:pt>
                <c:pt idx="16">
                  <c:v>20901</c:v>
                </c:pt>
                <c:pt idx="17">
                  <c:v>20735</c:v>
                </c:pt>
                <c:pt idx="18">
                  <c:v>21575</c:v>
                </c:pt>
                <c:pt idx="19">
                  <c:v>20618</c:v>
                </c:pt>
                <c:pt idx="20">
                  <c:v>21503</c:v>
                </c:pt>
                <c:pt idx="21">
                  <c:v>21427</c:v>
                </c:pt>
                <c:pt idx="22">
                  <c:v>21648</c:v>
                </c:pt>
              </c:numCache>
            </c:numRef>
          </c:val>
        </c:ser>
        <c:ser>
          <c:idx val="2"/>
          <c:order val="2"/>
          <c:tx>
            <c:strRef>
              <c:f>Salaires!$H$5</c:f>
              <c:strCache>
                <c:ptCount val="1"/>
                <c:pt idx="0">
                  <c:v>Employes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Salaires!$B$6:$B$28</c:f>
              <c:strCache>
                <c:ptCount val="23"/>
                <c:pt idx="0">
                  <c:v>Alsace</c:v>
                </c:pt>
                <c:pt idx="1">
                  <c:v>Aquitaine</c:v>
                </c:pt>
                <c:pt idx="2">
                  <c:v>Auvergne</c:v>
                </c:pt>
                <c:pt idx="3">
                  <c:v>Basse-Normandie</c:v>
                </c:pt>
                <c:pt idx="4">
                  <c:v>Bourgogne</c:v>
                </c:pt>
                <c:pt idx="5">
                  <c:v>Bretagne</c:v>
                </c:pt>
                <c:pt idx="6">
                  <c:v>Centre</c:v>
                </c:pt>
                <c:pt idx="7">
                  <c:v>Champagne-Ardenne</c:v>
                </c:pt>
                <c:pt idx="8">
                  <c:v>Corse</c:v>
                </c:pt>
                <c:pt idx="9">
                  <c:v>Franche-Comte</c:v>
                </c:pt>
                <c:pt idx="10">
                  <c:v>Haute-Normandie</c:v>
                </c:pt>
                <c:pt idx="11">
                  <c:v>Ile-de-France</c:v>
                </c:pt>
                <c:pt idx="12">
                  <c:v>Languedoc-Roussillon</c:v>
                </c:pt>
                <c:pt idx="13">
                  <c:v>Limousin</c:v>
                </c:pt>
                <c:pt idx="14">
                  <c:v>Lorraine</c:v>
                </c:pt>
                <c:pt idx="15">
                  <c:v>Midi-Pyrenees</c:v>
                </c:pt>
                <c:pt idx="16">
                  <c:v>Nord-Pas-de-Calais</c:v>
                </c:pt>
                <c:pt idx="17">
                  <c:v>Pays de la Loire</c:v>
                </c:pt>
                <c:pt idx="18">
                  <c:v>Picardie</c:v>
                </c:pt>
                <c:pt idx="19">
                  <c:v>Poitou-Charentes</c:v>
                </c:pt>
                <c:pt idx="20">
                  <c:v>Provence-Alpes-Cote d'Azur</c:v>
                </c:pt>
                <c:pt idx="21">
                  <c:v>Rhone-Alpes</c:v>
                </c:pt>
                <c:pt idx="22">
                  <c:v>Metropole</c:v>
                </c:pt>
              </c:strCache>
            </c:strRef>
          </c:cat>
          <c:val>
            <c:numRef>
              <c:f>Salaires!$H$6:$H$28</c:f>
              <c:numCache>
                <c:ptCount val="23"/>
                <c:pt idx="0">
                  <c:v>14855</c:v>
                </c:pt>
                <c:pt idx="1">
                  <c:v>14690</c:v>
                </c:pt>
                <c:pt idx="2">
                  <c:v>15003</c:v>
                </c:pt>
                <c:pt idx="3">
                  <c:v>14674</c:v>
                </c:pt>
                <c:pt idx="4">
                  <c:v>14729</c:v>
                </c:pt>
                <c:pt idx="5">
                  <c:v>14801</c:v>
                </c:pt>
                <c:pt idx="6">
                  <c:v>14920</c:v>
                </c:pt>
                <c:pt idx="7">
                  <c:v>14691</c:v>
                </c:pt>
                <c:pt idx="8">
                  <c:v>14388</c:v>
                </c:pt>
                <c:pt idx="9">
                  <c:v>14897</c:v>
                </c:pt>
                <c:pt idx="10">
                  <c:v>15085</c:v>
                </c:pt>
                <c:pt idx="11">
                  <c:v>16139</c:v>
                </c:pt>
                <c:pt idx="12">
                  <c:v>14516</c:v>
                </c:pt>
                <c:pt idx="13">
                  <c:v>14579</c:v>
                </c:pt>
                <c:pt idx="14">
                  <c:v>14815</c:v>
                </c:pt>
                <c:pt idx="15">
                  <c:v>14865</c:v>
                </c:pt>
                <c:pt idx="16">
                  <c:v>14794</c:v>
                </c:pt>
                <c:pt idx="17">
                  <c:v>14864</c:v>
                </c:pt>
                <c:pt idx="18">
                  <c:v>15094</c:v>
                </c:pt>
                <c:pt idx="19">
                  <c:v>14862</c:v>
                </c:pt>
                <c:pt idx="20">
                  <c:v>14792</c:v>
                </c:pt>
                <c:pt idx="21">
                  <c:v>15150</c:v>
                </c:pt>
                <c:pt idx="22">
                  <c:v>15184</c:v>
                </c:pt>
              </c:numCache>
            </c:numRef>
          </c:val>
        </c:ser>
        <c:ser>
          <c:idx val="3"/>
          <c:order val="3"/>
          <c:tx>
            <c:strRef>
              <c:f>Salaires!$I$5</c:f>
              <c:strCache>
                <c:ptCount val="1"/>
                <c:pt idx="0">
                  <c:v>Ouvriers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Salaires!$B$6:$B$28</c:f>
              <c:strCache>
                <c:ptCount val="23"/>
                <c:pt idx="0">
                  <c:v>Alsace</c:v>
                </c:pt>
                <c:pt idx="1">
                  <c:v>Aquitaine</c:v>
                </c:pt>
                <c:pt idx="2">
                  <c:v>Auvergne</c:v>
                </c:pt>
                <c:pt idx="3">
                  <c:v>Basse-Normandie</c:v>
                </c:pt>
                <c:pt idx="4">
                  <c:v>Bourgogne</c:v>
                </c:pt>
                <c:pt idx="5">
                  <c:v>Bretagne</c:v>
                </c:pt>
                <c:pt idx="6">
                  <c:v>Centre</c:v>
                </c:pt>
                <c:pt idx="7">
                  <c:v>Champagne-Ardenne</c:v>
                </c:pt>
                <c:pt idx="8">
                  <c:v>Corse</c:v>
                </c:pt>
                <c:pt idx="9">
                  <c:v>Franche-Comte</c:v>
                </c:pt>
                <c:pt idx="10">
                  <c:v>Haute-Normandie</c:v>
                </c:pt>
                <c:pt idx="11">
                  <c:v>Ile-de-France</c:v>
                </c:pt>
                <c:pt idx="12">
                  <c:v>Languedoc-Roussillon</c:v>
                </c:pt>
                <c:pt idx="13">
                  <c:v>Limousin</c:v>
                </c:pt>
                <c:pt idx="14">
                  <c:v>Lorraine</c:v>
                </c:pt>
                <c:pt idx="15">
                  <c:v>Midi-Pyrenees</c:v>
                </c:pt>
                <c:pt idx="16">
                  <c:v>Nord-Pas-de-Calais</c:v>
                </c:pt>
                <c:pt idx="17">
                  <c:v>Pays de la Loire</c:v>
                </c:pt>
                <c:pt idx="18">
                  <c:v>Picardie</c:v>
                </c:pt>
                <c:pt idx="19">
                  <c:v>Poitou-Charentes</c:v>
                </c:pt>
                <c:pt idx="20">
                  <c:v>Provence-Alpes-Cote d'Azur</c:v>
                </c:pt>
                <c:pt idx="21">
                  <c:v>Rhone-Alpes</c:v>
                </c:pt>
                <c:pt idx="22">
                  <c:v>Metropole</c:v>
                </c:pt>
              </c:strCache>
            </c:strRef>
          </c:cat>
          <c:val>
            <c:numRef>
              <c:f>Salaires!$I$6:$I$28</c:f>
              <c:numCache>
                <c:ptCount val="23"/>
                <c:pt idx="0">
                  <c:v>16412</c:v>
                </c:pt>
                <c:pt idx="1">
                  <c:v>14973</c:v>
                </c:pt>
                <c:pt idx="2">
                  <c:v>14989</c:v>
                </c:pt>
                <c:pt idx="3">
                  <c:v>15052</c:v>
                </c:pt>
                <c:pt idx="4">
                  <c:v>15504</c:v>
                </c:pt>
                <c:pt idx="5">
                  <c:v>14786</c:v>
                </c:pt>
                <c:pt idx="6">
                  <c:v>15418</c:v>
                </c:pt>
                <c:pt idx="7">
                  <c:v>15549</c:v>
                </c:pt>
                <c:pt idx="8">
                  <c:v>14444</c:v>
                </c:pt>
                <c:pt idx="9">
                  <c:v>15693</c:v>
                </c:pt>
                <c:pt idx="10">
                  <c:v>16274</c:v>
                </c:pt>
                <c:pt idx="11">
                  <c:v>17235</c:v>
                </c:pt>
                <c:pt idx="12">
                  <c:v>14677</c:v>
                </c:pt>
                <c:pt idx="13">
                  <c:v>14632</c:v>
                </c:pt>
                <c:pt idx="14">
                  <c:v>15742</c:v>
                </c:pt>
                <c:pt idx="15">
                  <c:v>14836</c:v>
                </c:pt>
                <c:pt idx="16">
                  <c:v>15309</c:v>
                </c:pt>
                <c:pt idx="17">
                  <c:v>14904</c:v>
                </c:pt>
                <c:pt idx="18">
                  <c:v>15851</c:v>
                </c:pt>
                <c:pt idx="19">
                  <c:v>14638</c:v>
                </c:pt>
                <c:pt idx="20">
                  <c:v>15519</c:v>
                </c:pt>
                <c:pt idx="21">
                  <c:v>15676</c:v>
                </c:pt>
                <c:pt idx="22">
                  <c:v>15618</c:v>
                </c:pt>
              </c:numCache>
            </c:numRef>
          </c:val>
        </c:ser>
        <c:axId val="46673522"/>
        <c:axId val="17408515"/>
      </c:barChart>
      <c:catAx>
        <c:axId val="4667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08515"/>
        <c:crossesAt val="0"/>
        <c:auto val="1"/>
        <c:lblOffset val="100"/>
        <c:noMultiLvlLbl val="0"/>
      </c:catAx>
      <c:valAx>
        <c:axId val="1740851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73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Revenus cadres sup et ouvriers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Revenus!$E$49:$E$58</c:f>
              <c:numCache>
                <c:ptCount val="10"/>
                <c:pt idx="0">
                  <c:v>7.5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52.5</c:v>
                </c:pt>
                <c:pt idx="5">
                  <c:v>70</c:v>
                </c:pt>
                <c:pt idx="6">
                  <c:v>90</c:v>
                </c:pt>
                <c:pt idx="7">
                  <c:v>125</c:v>
                </c:pt>
                <c:pt idx="8">
                  <c:v>175</c:v>
                </c:pt>
                <c:pt idx="9">
                  <c:v>250</c:v>
                </c:pt>
              </c:numCache>
            </c:numRef>
          </c:xVal>
          <c:yVal>
            <c:numRef>
              <c:f>Revenus!$J$49:$J$58</c:f>
              <c:numCache>
                <c:ptCount val="10"/>
                <c:pt idx="0">
                  <c:v>0.9333333333333333</c:v>
                </c:pt>
                <c:pt idx="1">
                  <c:v>0.4</c:v>
                </c:pt>
                <c:pt idx="2">
                  <c:v>0.7</c:v>
                </c:pt>
                <c:pt idx="3">
                  <c:v>1.6</c:v>
                </c:pt>
                <c:pt idx="4">
                  <c:v>3.1333333333333333</c:v>
                </c:pt>
                <c:pt idx="5">
                  <c:v>5.65</c:v>
                </c:pt>
                <c:pt idx="6">
                  <c:v>6.9</c:v>
                </c:pt>
                <c:pt idx="7">
                  <c:v>6.8</c:v>
                </c:pt>
                <c:pt idx="8">
                  <c:v>3.4</c:v>
                </c:pt>
                <c:pt idx="9">
                  <c:v>1.51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Revenus!$E$49:$E$58</c:f>
              <c:numCache>
                <c:ptCount val="10"/>
                <c:pt idx="0">
                  <c:v>7.5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52.5</c:v>
                </c:pt>
                <c:pt idx="5">
                  <c:v>70</c:v>
                </c:pt>
                <c:pt idx="6">
                  <c:v>90</c:v>
                </c:pt>
                <c:pt idx="7">
                  <c:v>125</c:v>
                </c:pt>
                <c:pt idx="8">
                  <c:v>175</c:v>
                </c:pt>
                <c:pt idx="9">
                  <c:v>250</c:v>
                </c:pt>
              </c:numCache>
            </c:numRef>
          </c:xVal>
          <c:yVal>
            <c:numRef>
              <c:f>Revenus!$K$49:$K$58</c:f>
              <c:numCache>
                <c:ptCount val="10"/>
                <c:pt idx="0">
                  <c:v>2.2666666666666666</c:v>
                </c:pt>
                <c:pt idx="1">
                  <c:v>5.5</c:v>
                </c:pt>
                <c:pt idx="2">
                  <c:v>15.3</c:v>
                </c:pt>
                <c:pt idx="3">
                  <c:v>17.4</c:v>
                </c:pt>
                <c:pt idx="4">
                  <c:v>14.866666666666667</c:v>
                </c:pt>
                <c:pt idx="5">
                  <c:v>9.9</c:v>
                </c:pt>
                <c:pt idx="6">
                  <c:v>4.7</c:v>
                </c:pt>
                <c:pt idx="7">
                  <c:v>1.26</c:v>
                </c:pt>
                <c:pt idx="8">
                  <c:v>0.1</c:v>
                </c:pt>
                <c:pt idx="9">
                  <c:v>0.01</c:v>
                </c:pt>
              </c:numCache>
            </c:numRef>
          </c:yVal>
          <c:smooth val="0"/>
        </c:ser>
        <c:axId val="22458908"/>
        <c:axId val="803581"/>
      </c:scatterChart>
      <c:valAx>
        <c:axId val="2245890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3581"/>
        <c:crosses val="autoZero"/>
        <c:crossBetween val="midCat"/>
        <c:dispUnits/>
      </c:valAx>
      <c:valAx>
        <c:axId val="80358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0.00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589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France!$D$5</c:f>
              <c:strCache>
                <c:ptCount val="1"/>
                <c:pt idx="0">
                  <c:v>Pop./100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France!$B$6:$B$21</c:f>
              <c:numCache>
                <c:ptCount val="16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</c:numCache>
            </c:numRef>
          </c:cat>
          <c:val>
            <c:numRef>
              <c:f>France!$D$6:$D$21</c:f>
              <c:numCache>
                <c:ptCount val="16"/>
                <c:pt idx="0">
                  <c:v>541.82</c:v>
                </c:pt>
                <c:pt idx="1">
                  <c:v>544.92</c:v>
                </c:pt>
                <c:pt idx="2">
                  <c:v>547.72</c:v>
                </c:pt>
                <c:pt idx="3">
                  <c:v>550.26</c:v>
                </c:pt>
                <c:pt idx="4">
                  <c:v>552.84</c:v>
                </c:pt>
                <c:pt idx="5">
                  <c:v>555.47</c:v>
                </c:pt>
                <c:pt idx="6">
                  <c:v>558.24</c:v>
                </c:pt>
                <c:pt idx="7">
                  <c:v>561.18</c:v>
                </c:pt>
                <c:pt idx="8">
                  <c:v>564.23</c:v>
                </c:pt>
                <c:pt idx="9">
                  <c:v>567.35</c:v>
                </c:pt>
                <c:pt idx="10">
                  <c:v>570.55</c:v>
                </c:pt>
                <c:pt idx="11">
                  <c:v>573.74</c:v>
                </c:pt>
                <c:pt idx="12">
                  <c:v>576.54</c:v>
                </c:pt>
                <c:pt idx="13">
                  <c:v>579</c:v>
                </c:pt>
                <c:pt idx="14">
                  <c:v>581.38</c:v>
                </c:pt>
                <c:pt idx="15">
                  <c:v>583.75</c:v>
                </c:pt>
              </c:numCache>
            </c:numRef>
          </c:val>
        </c:ser>
        <c:axId val="7232230"/>
        <c:axId val="65090071"/>
      </c:areaChart>
      <c:barChart>
        <c:barDir val="col"/>
        <c:grouping val="clustered"/>
        <c:varyColors val="0"/>
        <c:ser>
          <c:idx val="0"/>
          <c:order val="1"/>
          <c:tx>
            <c:strRef>
              <c:f>France!$F$5</c:f>
              <c:strCache>
                <c:ptCount val="1"/>
                <c:pt idx="0">
                  <c:v>Décès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France!$B$6:$B$21</c:f>
              <c:numCache>
                <c:ptCount val="16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</c:numCache>
            </c:numRef>
          </c:cat>
          <c:val>
            <c:numRef>
              <c:f>France!$F$6:$F$21</c:f>
              <c:numCache>
                <c:ptCount val="16"/>
                <c:pt idx="0">
                  <c:v>555</c:v>
                </c:pt>
                <c:pt idx="1">
                  <c:v>543</c:v>
                </c:pt>
                <c:pt idx="2">
                  <c:v>560</c:v>
                </c:pt>
                <c:pt idx="3">
                  <c:v>542</c:v>
                </c:pt>
                <c:pt idx="4">
                  <c:v>552</c:v>
                </c:pt>
                <c:pt idx="5">
                  <c:v>547</c:v>
                </c:pt>
                <c:pt idx="6">
                  <c:v>527</c:v>
                </c:pt>
                <c:pt idx="7">
                  <c:v>525</c:v>
                </c:pt>
                <c:pt idx="8">
                  <c:v>529</c:v>
                </c:pt>
                <c:pt idx="9">
                  <c:v>526</c:v>
                </c:pt>
                <c:pt idx="10">
                  <c:v>525</c:v>
                </c:pt>
                <c:pt idx="11">
                  <c:v>522</c:v>
                </c:pt>
                <c:pt idx="12">
                  <c:v>532</c:v>
                </c:pt>
                <c:pt idx="13">
                  <c:v>520</c:v>
                </c:pt>
                <c:pt idx="14">
                  <c:v>532</c:v>
                </c:pt>
                <c:pt idx="15">
                  <c:v>536</c:v>
                </c:pt>
              </c:numCache>
            </c:numRef>
          </c:val>
        </c:ser>
        <c:ser>
          <c:idx val="1"/>
          <c:order val="2"/>
          <c:tx>
            <c:strRef>
              <c:f>France!$E$5</c:f>
              <c:strCache>
                <c:ptCount val="1"/>
                <c:pt idx="0">
                  <c:v>Naiss.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France!$B$6:$B$21</c:f>
              <c:numCache>
                <c:ptCount val="16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</c:numCache>
            </c:numRef>
          </c:cat>
          <c:val>
            <c:numRef>
              <c:f>France!$E$6:$E$21</c:f>
              <c:numCache>
                <c:ptCount val="16"/>
                <c:pt idx="0">
                  <c:v>805</c:v>
                </c:pt>
                <c:pt idx="1">
                  <c:v>797</c:v>
                </c:pt>
                <c:pt idx="2">
                  <c:v>749</c:v>
                </c:pt>
                <c:pt idx="3">
                  <c:v>760</c:v>
                </c:pt>
                <c:pt idx="4">
                  <c:v>768</c:v>
                </c:pt>
                <c:pt idx="5">
                  <c:v>778</c:v>
                </c:pt>
                <c:pt idx="6">
                  <c:v>758</c:v>
                </c:pt>
                <c:pt idx="7">
                  <c:v>771</c:v>
                </c:pt>
                <c:pt idx="8">
                  <c:v>765</c:v>
                </c:pt>
                <c:pt idx="9">
                  <c:v>762</c:v>
                </c:pt>
                <c:pt idx="10">
                  <c:v>759</c:v>
                </c:pt>
                <c:pt idx="11">
                  <c:v>744</c:v>
                </c:pt>
                <c:pt idx="12">
                  <c:v>712</c:v>
                </c:pt>
                <c:pt idx="13">
                  <c:v>711</c:v>
                </c:pt>
                <c:pt idx="14">
                  <c:v>728</c:v>
                </c:pt>
                <c:pt idx="15">
                  <c:v>734</c:v>
                </c:pt>
              </c:numCache>
            </c:numRef>
          </c:val>
        </c:ser>
        <c:axId val="7232230"/>
        <c:axId val="65090071"/>
      </c:barChart>
      <c:catAx>
        <c:axId val="723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90071"/>
        <c:crossesAt val="0"/>
        <c:auto val="1"/>
        <c:lblOffset val="100"/>
        <c:noMultiLvlLbl val="0"/>
      </c:catAx>
      <c:valAx>
        <c:axId val="6509007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0.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3223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3175">
      <a:noFill/>
    </a:ln>
  </c:sp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Maga!$C$4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Maga!$B$5:$B$8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Maga!$C$5:$C$8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Maga!$D$4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Maga!$B$5:$B$8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Maga!$D$5:$D$8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Maga!$E$4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Maga!$B$5:$B$8</c:f>
              <c:str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strCache>
            </c:strRef>
          </c:cat>
          <c:val>
            <c:numRef>
              <c:f>Maga!$E$5:$E$8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48939728"/>
        <c:axId val="37804369"/>
      </c:barChart>
      <c:catAx>
        <c:axId val="48939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04369"/>
        <c:crossesAt val="0"/>
        <c:auto val="1"/>
        <c:lblOffset val="100"/>
        <c:noMultiLvlLbl val="0"/>
      </c:catAx>
      <c:valAx>
        <c:axId val="3780436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0.00%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39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12700">
      <a:solidFill/>
    </a:ln>
  </c:sp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Fréquences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freq2!$H$6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freq2!$H$7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freq2!$H$8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freq2!$H$9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freq2!$H$10</c:f>
              <c:numCache>
                <c:ptCount val="1"/>
                <c:pt idx="0">
                  <c:v>0</c:v>
                </c:pt>
              </c:numCache>
            </c:numRef>
          </c:val>
        </c:ser>
        <c:axId val="4695002"/>
        <c:axId val="42255019"/>
      </c:barChart>
      <c:catAx>
        <c:axId val="4695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Classes successives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55019"/>
        <c:crosses val="autoZero"/>
        <c:auto val="1"/>
        <c:lblOffset val="100"/>
        <c:noMultiLvlLbl val="0"/>
      </c:catAx>
      <c:valAx>
        <c:axId val="422550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5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19050</xdr:rowOff>
    </xdr:from>
    <xdr:to>
      <xdr:col>28</xdr:col>
      <xdr:colOff>161925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61925" y="180975"/>
        <a:ext cx="218694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32</xdr:row>
      <xdr:rowOff>19050</xdr:rowOff>
    </xdr:from>
    <xdr:to>
      <xdr:col>10</xdr:col>
      <xdr:colOff>209550</xdr:colOff>
      <xdr:row>54</xdr:row>
      <xdr:rowOff>123825</xdr:rowOff>
    </xdr:to>
    <xdr:graphicFrame>
      <xdr:nvGraphicFramePr>
        <xdr:cNvPr id="1" name="Chart 1"/>
        <xdr:cNvGraphicFramePr/>
      </xdr:nvGraphicFramePr>
      <xdr:xfrm>
        <a:off x="314325" y="5200650"/>
        <a:ext cx="46672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314325</xdr:colOff>
      <xdr:row>32</xdr:row>
      <xdr:rowOff>9525</xdr:rowOff>
    </xdr:from>
    <xdr:to>
      <xdr:col>18</xdr:col>
      <xdr:colOff>457200</xdr:colOff>
      <xdr:row>54</xdr:row>
      <xdr:rowOff>133350</xdr:rowOff>
    </xdr:to>
    <xdr:graphicFrame>
      <xdr:nvGraphicFramePr>
        <xdr:cNvPr id="2" name="Chart 2"/>
        <xdr:cNvGraphicFramePr/>
      </xdr:nvGraphicFramePr>
      <xdr:xfrm>
        <a:off x="5086350" y="5191125"/>
        <a:ext cx="461010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94</xdr:row>
      <xdr:rowOff>0</xdr:rowOff>
    </xdr:from>
    <xdr:to>
      <xdr:col>8</xdr:col>
      <xdr:colOff>238125</xdr:colOff>
      <xdr:row>105</xdr:row>
      <xdr:rowOff>9525</xdr:rowOff>
    </xdr:to>
    <xdr:graphicFrame>
      <xdr:nvGraphicFramePr>
        <xdr:cNvPr id="1" name="Chart 1"/>
        <xdr:cNvGraphicFramePr/>
      </xdr:nvGraphicFramePr>
      <xdr:xfrm>
        <a:off x="685800" y="15211425"/>
        <a:ext cx="4048125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115</xdr:row>
      <xdr:rowOff>9525</xdr:rowOff>
    </xdr:from>
    <xdr:to>
      <xdr:col>10</xdr:col>
      <xdr:colOff>0</xdr:colOff>
      <xdr:row>135</xdr:row>
      <xdr:rowOff>152400</xdr:rowOff>
    </xdr:to>
    <xdr:graphicFrame>
      <xdr:nvGraphicFramePr>
        <xdr:cNvPr id="2" name="Chart 2"/>
        <xdr:cNvGraphicFramePr/>
      </xdr:nvGraphicFramePr>
      <xdr:xfrm>
        <a:off x="695325" y="18621375"/>
        <a:ext cx="49625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83</xdr:row>
      <xdr:rowOff>152400</xdr:rowOff>
    </xdr:from>
    <xdr:to>
      <xdr:col>8</xdr:col>
      <xdr:colOff>161925</xdr:colOff>
      <xdr:row>95</xdr:row>
      <xdr:rowOff>9525</xdr:rowOff>
    </xdr:to>
    <xdr:graphicFrame>
      <xdr:nvGraphicFramePr>
        <xdr:cNvPr id="1" name="Chart 1"/>
        <xdr:cNvGraphicFramePr/>
      </xdr:nvGraphicFramePr>
      <xdr:xfrm>
        <a:off x="619125" y="13592175"/>
        <a:ext cx="3924300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105</xdr:row>
      <xdr:rowOff>0</xdr:rowOff>
    </xdr:from>
    <xdr:to>
      <xdr:col>8</xdr:col>
      <xdr:colOff>419100</xdr:colOff>
      <xdr:row>124</xdr:row>
      <xdr:rowOff>95250</xdr:rowOff>
    </xdr:to>
    <xdr:graphicFrame>
      <xdr:nvGraphicFramePr>
        <xdr:cNvPr id="2" name="Chart 2"/>
        <xdr:cNvGraphicFramePr/>
      </xdr:nvGraphicFramePr>
      <xdr:xfrm>
        <a:off x="619125" y="17002125"/>
        <a:ext cx="41814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29</xdr:row>
      <xdr:rowOff>0</xdr:rowOff>
    </xdr:from>
    <xdr:to>
      <xdr:col>9</xdr:col>
      <xdr:colOff>371475</xdr:colOff>
      <xdr:row>57</xdr:row>
      <xdr:rowOff>95250</xdr:rowOff>
    </xdr:to>
    <xdr:graphicFrame>
      <xdr:nvGraphicFramePr>
        <xdr:cNvPr id="1" name="Chart 1"/>
        <xdr:cNvGraphicFramePr/>
      </xdr:nvGraphicFramePr>
      <xdr:xfrm>
        <a:off x="2676525" y="4695825"/>
        <a:ext cx="48387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19050</xdr:rowOff>
    </xdr:from>
    <xdr:to>
      <xdr:col>11</xdr:col>
      <xdr:colOff>19050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71450" y="180975"/>
        <a:ext cx="84391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19050</xdr:rowOff>
    </xdr:from>
    <xdr:to>
      <xdr:col>11</xdr:col>
      <xdr:colOff>19050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71450" y="180975"/>
        <a:ext cx="84391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19050</xdr:rowOff>
    </xdr:from>
    <xdr:to>
      <xdr:col>11</xdr:col>
      <xdr:colOff>19050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71450" y="180975"/>
        <a:ext cx="84391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19050</xdr:rowOff>
    </xdr:from>
    <xdr:to>
      <xdr:col>48</xdr:col>
      <xdr:colOff>171450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71450" y="180975"/>
        <a:ext cx="374904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19050</xdr:rowOff>
    </xdr:from>
    <xdr:to>
      <xdr:col>11</xdr:col>
      <xdr:colOff>19050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71450" y="180975"/>
        <a:ext cx="84391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19050</xdr:rowOff>
    </xdr:from>
    <xdr:to>
      <xdr:col>11</xdr:col>
      <xdr:colOff>19050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71450" y="180975"/>
        <a:ext cx="84391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59</xdr:row>
      <xdr:rowOff>152400</xdr:rowOff>
    </xdr:from>
    <xdr:to>
      <xdr:col>6</xdr:col>
      <xdr:colOff>609600</xdr:colOff>
      <xdr:row>77</xdr:row>
      <xdr:rowOff>57150</xdr:rowOff>
    </xdr:to>
    <xdr:graphicFrame>
      <xdr:nvGraphicFramePr>
        <xdr:cNvPr id="1" name="Chart 1"/>
        <xdr:cNvGraphicFramePr/>
      </xdr:nvGraphicFramePr>
      <xdr:xfrm>
        <a:off x="790575" y="9705975"/>
        <a:ext cx="46672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104775</xdr:rowOff>
    </xdr:from>
    <xdr:to>
      <xdr:col>13</xdr:col>
      <xdr:colOff>66675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762000" y="2695575"/>
        <a:ext cx="49434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36</xdr:row>
      <xdr:rowOff>9525</xdr:rowOff>
    </xdr:from>
    <xdr:to>
      <xdr:col>13</xdr:col>
      <xdr:colOff>76200</xdr:colOff>
      <xdr:row>53</xdr:row>
      <xdr:rowOff>76200</xdr:rowOff>
    </xdr:to>
    <xdr:graphicFrame>
      <xdr:nvGraphicFramePr>
        <xdr:cNvPr id="2" name="Chart 2"/>
        <xdr:cNvGraphicFramePr/>
      </xdr:nvGraphicFramePr>
      <xdr:xfrm>
        <a:off x="771525" y="5838825"/>
        <a:ext cx="49434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285750</xdr:colOff>
      <xdr:row>16</xdr:row>
      <xdr:rowOff>104775</xdr:rowOff>
    </xdr:from>
    <xdr:to>
      <xdr:col>22</xdr:col>
      <xdr:colOff>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6210300" y="2695575"/>
        <a:ext cx="54864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36</xdr:row>
      <xdr:rowOff>9525</xdr:rowOff>
    </xdr:from>
    <xdr:to>
      <xdr:col>22</xdr:col>
      <xdr:colOff>0</xdr:colOff>
      <xdr:row>53</xdr:row>
      <xdr:rowOff>76200</xdr:rowOff>
    </xdr:to>
    <xdr:graphicFrame>
      <xdr:nvGraphicFramePr>
        <xdr:cNvPr id="4" name="Chart 4"/>
        <xdr:cNvGraphicFramePr/>
      </xdr:nvGraphicFramePr>
      <xdr:xfrm>
        <a:off x="6486525" y="5838825"/>
        <a:ext cx="5210175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39"/>
  <sheetViews>
    <sheetView workbookViewId="0" topLeftCell="A1">
      <selection activeCell="A1" sqref="A1"/>
    </sheetView>
  </sheetViews>
  <sheetFormatPr defaultColWidth="11.421875" defaultRowHeight="12.75"/>
  <cols>
    <col min="1" max="1" width="5.8515625" style="0" customWidth="1"/>
    <col min="2" max="2" width="15.421875" style="1" customWidth="1"/>
    <col min="3" max="3" width="8.7109375" style="0" customWidth="1"/>
    <col min="4" max="4" width="8.8515625" style="0" customWidth="1"/>
    <col min="5" max="5" width="8.7109375" style="0" customWidth="1"/>
    <col min="6" max="6" width="9.8515625" style="0" customWidth="1"/>
    <col min="7" max="7" width="12.140625" style="0" customWidth="1"/>
    <col min="8" max="8" width="11.57421875" style="0" customWidth="1"/>
    <col min="9" max="16384" width="11.7109375" style="0" customWidth="1"/>
  </cols>
  <sheetData>
    <row r="2" ht="16.5" customHeight="1">
      <c r="D2" s="104" t="s">
        <v>674</v>
      </c>
    </row>
    <row r="3" ht="16.5" customHeight="1"/>
    <row r="4" spans="2:8" ht="16.5" customHeight="1">
      <c r="B4" s="105"/>
      <c r="C4" s="638">
        <v>1990</v>
      </c>
      <c r="D4" s="638"/>
      <c r="E4" s="638">
        <v>2004</v>
      </c>
      <c r="F4" s="638"/>
      <c r="G4" s="639">
        <v>2005</v>
      </c>
      <c r="H4" s="639"/>
    </row>
    <row r="5" spans="2:8" ht="16.5" customHeight="1">
      <c r="B5" s="107"/>
      <c r="C5" s="108" t="s">
        <v>675</v>
      </c>
      <c r="D5" s="109" t="s">
        <v>676</v>
      </c>
      <c r="E5" s="108" t="s">
        <v>675</v>
      </c>
      <c r="F5" s="109" t="s">
        <v>676</v>
      </c>
      <c r="G5" s="110" t="s">
        <v>675</v>
      </c>
      <c r="H5" s="109" t="s">
        <v>676</v>
      </c>
    </row>
    <row r="6" spans="2:8" ht="16.5" customHeight="1">
      <c r="B6" s="111" t="s">
        <v>677</v>
      </c>
      <c r="C6" s="112">
        <v>18.1</v>
      </c>
      <c r="D6" s="113">
        <v>20</v>
      </c>
      <c r="E6" s="112">
        <v>17.5</v>
      </c>
      <c r="F6" s="113">
        <v>19.4</v>
      </c>
      <c r="G6" s="114">
        <v>17.5</v>
      </c>
      <c r="H6" s="113">
        <v>19.4</v>
      </c>
    </row>
    <row r="7" spans="2:8" ht="16.5" customHeight="1">
      <c r="B7" s="115" t="s">
        <v>678</v>
      </c>
      <c r="C7" s="116">
        <v>14.4</v>
      </c>
      <c r="D7" s="117">
        <v>15.7</v>
      </c>
      <c r="E7" s="116">
        <v>12.4</v>
      </c>
      <c r="F7" s="117">
        <v>13.6</v>
      </c>
      <c r="G7" s="118">
        <v>12.3</v>
      </c>
      <c r="H7" s="117">
        <v>13.4</v>
      </c>
    </row>
    <row r="8" spans="2:8" ht="16.5" customHeight="1">
      <c r="B8" s="115" t="s">
        <v>679</v>
      </c>
      <c r="C8" s="116">
        <v>14.8</v>
      </c>
      <c r="D8" s="117">
        <v>15.5</v>
      </c>
      <c r="E8" s="116">
        <v>12.9</v>
      </c>
      <c r="F8" s="117">
        <v>13.7</v>
      </c>
      <c r="G8" s="118">
        <v>12.8</v>
      </c>
      <c r="H8" s="117">
        <v>13.6</v>
      </c>
    </row>
    <row r="9" spans="2:8" ht="16.5" customHeight="1">
      <c r="B9" s="115" t="s">
        <v>680</v>
      </c>
      <c r="C9" s="116">
        <v>14.7</v>
      </c>
      <c r="D9" s="117">
        <v>15.8</v>
      </c>
      <c r="E9" s="116">
        <v>14</v>
      </c>
      <c r="F9" s="117">
        <v>14.6</v>
      </c>
      <c r="G9" s="118">
        <v>14</v>
      </c>
      <c r="H9" s="117">
        <v>14.5</v>
      </c>
    </row>
    <row r="10" spans="2:8" ht="16.5" customHeight="1">
      <c r="B10" s="115" t="s">
        <v>681</v>
      </c>
      <c r="C10" s="116">
        <v>10</v>
      </c>
      <c r="D10" s="117">
        <v>10.6</v>
      </c>
      <c r="E10" s="116">
        <v>13.7</v>
      </c>
      <c r="F10" s="117">
        <v>14</v>
      </c>
      <c r="G10" s="118">
        <v>13.6</v>
      </c>
      <c r="H10" s="117">
        <v>13.8</v>
      </c>
    </row>
    <row r="11" spans="2:8" ht="16.5" customHeight="1">
      <c r="B11" s="115" t="s">
        <v>682</v>
      </c>
      <c r="C11" s="116">
        <v>10.6</v>
      </c>
      <c r="D11" s="117">
        <v>10.4</v>
      </c>
      <c r="E11" s="116">
        <v>10.6</v>
      </c>
      <c r="F11" s="117">
        <v>10.9</v>
      </c>
      <c r="G11" s="118">
        <v>11.1</v>
      </c>
      <c r="H11" s="117">
        <v>11.4</v>
      </c>
    </row>
    <row r="12" spans="2:8" ht="16.5" customHeight="1">
      <c r="B12" s="115" t="s">
        <v>683</v>
      </c>
      <c r="C12" s="116">
        <v>8.3</v>
      </c>
      <c r="D12" s="117">
        <v>6.9</v>
      </c>
      <c r="E12" s="116">
        <v>8.9</v>
      </c>
      <c r="F12" s="117">
        <v>7.8</v>
      </c>
      <c r="G12" s="118">
        <v>8.6</v>
      </c>
      <c r="H12" s="117">
        <v>7.7</v>
      </c>
    </row>
    <row r="13" spans="2:8" ht="16.5" customHeight="1">
      <c r="B13" s="119" t="s">
        <v>684</v>
      </c>
      <c r="C13" s="120">
        <v>9.1</v>
      </c>
      <c r="D13" s="121">
        <v>5.1</v>
      </c>
      <c r="E13" s="120">
        <v>10</v>
      </c>
      <c r="F13" s="121">
        <v>6</v>
      </c>
      <c r="G13" s="122">
        <v>10.1</v>
      </c>
      <c r="H13" s="121">
        <v>6.2</v>
      </c>
    </row>
    <row r="14" spans="2:8" ht="16.5" customHeight="1">
      <c r="B14" s="123" t="s">
        <v>685</v>
      </c>
      <c r="C14" s="124">
        <v>100</v>
      </c>
      <c r="D14" s="125">
        <v>100</v>
      </c>
      <c r="E14" s="124">
        <v>100</v>
      </c>
      <c r="F14" s="125">
        <v>100</v>
      </c>
      <c r="G14" s="126">
        <v>100</v>
      </c>
      <c r="H14" s="125">
        <v>100</v>
      </c>
    </row>
    <row r="16" ht="16.5" customHeight="1">
      <c r="B16" s="1" t="s">
        <v>686</v>
      </c>
    </row>
    <row r="27" ht="12.75">
      <c r="G27" s="2" t="s">
        <v>687</v>
      </c>
    </row>
    <row r="28" ht="16.5" customHeight="1"/>
    <row r="29" spans="7:8" ht="16.5" customHeight="1">
      <c r="G29" s="638" t="s">
        <v>688</v>
      </c>
      <c r="H29" s="638"/>
    </row>
    <row r="30" spans="6:8" ht="16.5" customHeight="1">
      <c r="F30" s="26"/>
      <c r="G30" s="127" t="s">
        <v>675</v>
      </c>
      <c r="H30" s="128" t="s">
        <v>676</v>
      </c>
    </row>
    <row r="31" spans="6:8" ht="26.25" customHeight="1">
      <c r="F31" s="111" t="s">
        <v>677</v>
      </c>
      <c r="G31" s="129">
        <f>-G6*10/15</f>
        <v>-11.666666666666666</v>
      </c>
      <c r="H31" s="130">
        <f>H6*10/15</f>
        <v>12.933333333333334</v>
      </c>
    </row>
    <row r="32" spans="6:8" ht="16.5" customHeight="1">
      <c r="F32" s="115" t="s">
        <v>678</v>
      </c>
      <c r="G32" s="131">
        <v>-12.3</v>
      </c>
      <c r="H32" s="117">
        <v>13.4</v>
      </c>
    </row>
    <row r="33" spans="6:8" ht="16.5" customHeight="1">
      <c r="F33" s="115" t="s">
        <v>679</v>
      </c>
      <c r="G33" s="131">
        <v>-12.8</v>
      </c>
      <c r="H33" s="117">
        <v>13.6</v>
      </c>
    </row>
    <row r="34" spans="6:8" ht="16.5" customHeight="1">
      <c r="F34" s="115" t="s">
        <v>680</v>
      </c>
      <c r="G34" s="131">
        <v>-14</v>
      </c>
      <c r="H34" s="117">
        <v>14.5</v>
      </c>
    </row>
    <row r="35" spans="6:8" ht="16.5" customHeight="1">
      <c r="F35" s="115" t="s">
        <v>681</v>
      </c>
      <c r="G35" s="131">
        <v>-13.6</v>
      </c>
      <c r="H35" s="117">
        <v>13.8</v>
      </c>
    </row>
    <row r="36" spans="6:8" ht="16.5" customHeight="1">
      <c r="F36" s="115" t="s">
        <v>682</v>
      </c>
      <c r="G36" s="131">
        <v>-11.1</v>
      </c>
      <c r="H36" s="117">
        <v>11.4</v>
      </c>
    </row>
    <row r="37" spans="6:8" ht="16.5" customHeight="1">
      <c r="F37" s="115" t="s">
        <v>683</v>
      </c>
      <c r="G37" s="131">
        <v>-8.6</v>
      </c>
      <c r="H37" s="117">
        <v>7.7</v>
      </c>
    </row>
    <row r="38" spans="6:8" ht="30" customHeight="1">
      <c r="F38" s="119" t="s">
        <v>684</v>
      </c>
      <c r="G38" s="132">
        <f>-G13/2</f>
        <v>-5.05</v>
      </c>
      <c r="H38" s="121">
        <f>H13/2</f>
        <v>3.1</v>
      </c>
    </row>
    <row r="39" spans="6:8" ht="16.5" customHeight="1">
      <c r="F39" s="123" t="s">
        <v>685</v>
      </c>
      <c r="G39" s="124">
        <v>-100</v>
      </c>
      <c r="H39" s="125">
        <v>100</v>
      </c>
    </row>
  </sheetData>
  <mergeCells count="4">
    <mergeCell ref="C4:D4"/>
    <mergeCell ref="E4:F4"/>
    <mergeCell ref="G4:H4"/>
    <mergeCell ref="G29:H2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I33"/>
  <sheetViews>
    <sheetView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26.421875" style="0" customWidth="1"/>
    <col min="3" max="3" width="16.8515625" style="0" customWidth="1"/>
    <col min="4" max="16384" width="11.7109375" style="0" customWidth="1"/>
  </cols>
  <sheetData>
    <row r="3" spans="2:9" ht="12.75" customHeight="1">
      <c r="B3" s="4"/>
      <c r="C3" s="106"/>
      <c r="D3" s="639" t="s">
        <v>689</v>
      </c>
      <c r="E3" s="639"/>
      <c r="F3" s="639"/>
      <c r="G3" s="639"/>
      <c r="H3" s="639"/>
      <c r="I3" s="639"/>
    </row>
    <row r="4" spans="2:9" ht="12.75">
      <c r="B4" s="19"/>
      <c r="C4" s="133" t="s">
        <v>690</v>
      </c>
      <c r="D4" s="133">
        <v>1997</v>
      </c>
      <c r="E4" s="640">
        <v>2002</v>
      </c>
      <c r="F4" s="640"/>
      <c r="G4" s="640"/>
      <c r="H4" s="640"/>
      <c r="I4" s="640"/>
    </row>
    <row r="5" spans="2:9" ht="12.75">
      <c r="B5" s="134"/>
      <c r="C5" s="133" t="s">
        <v>691</v>
      </c>
      <c r="D5" s="133" t="s">
        <v>685</v>
      </c>
      <c r="E5" s="110" t="s">
        <v>685</v>
      </c>
      <c r="F5" s="135" t="s">
        <v>692</v>
      </c>
      <c r="G5" s="135" t="s">
        <v>693</v>
      </c>
      <c r="H5" s="135" t="s">
        <v>694</v>
      </c>
      <c r="I5" s="109" t="s">
        <v>695</v>
      </c>
    </row>
    <row r="6" spans="2:9" ht="12.75">
      <c r="B6" s="136" t="s">
        <v>696</v>
      </c>
      <c r="C6" s="137">
        <v>3.1</v>
      </c>
      <c r="D6" s="137">
        <v>18327</v>
      </c>
      <c r="E6" s="138">
        <v>20337</v>
      </c>
      <c r="F6" s="139">
        <v>38505</v>
      </c>
      <c r="G6" s="139">
        <v>21473</v>
      </c>
      <c r="H6" s="139">
        <v>14855</v>
      </c>
      <c r="I6" s="140">
        <v>16412</v>
      </c>
    </row>
    <row r="7" spans="2:9" ht="12.75">
      <c r="B7" s="141" t="s">
        <v>697</v>
      </c>
      <c r="C7" s="142">
        <v>4.4</v>
      </c>
      <c r="D7" s="142">
        <v>17591</v>
      </c>
      <c r="E7" s="118">
        <v>19403</v>
      </c>
      <c r="F7" s="143">
        <v>38625</v>
      </c>
      <c r="G7" s="143">
        <v>21430</v>
      </c>
      <c r="H7" s="143">
        <v>14690</v>
      </c>
      <c r="I7" s="117">
        <v>14973</v>
      </c>
    </row>
    <row r="8" spans="2:9" ht="12.75">
      <c r="B8" s="141" t="s">
        <v>698</v>
      </c>
      <c r="C8" s="142">
        <v>1.9</v>
      </c>
      <c r="D8" s="142">
        <v>16884</v>
      </c>
      <c r="E8" s="118">
        <v>18656</v>
      </c>
      <c r="F8" s="143">
        <v>38984</v>
      </c>
      <c r="G8" s="143">
        <v>20862</v>
      </c>
      <c r="H8" s="143">
        <v>15003</v>
      </c>
      <c r="I8" s="117">
        <v>14989</v>
      </c>
    </row>
    <row r="9" spans="2:9" ht="12.75">
      <c r="B9" s="141" t="s">
        <v>699</v>
      </c>
      <c r="C9" s="142">
        <v>2.1</v>
      </c>
      <c r="D9" s="142">
        <v>16658</v>
      </c>
      <c r="E9" s="118">
        <v>18300</v>
      </c>
      <c r="F9" s="143">
        <v>37541</v>
      </c>
      <c r="G9" s="143">
        <v>20841</v>
      </c>
      <c r="H9" s="143">
        <v>14674</v>
      </c>
      <c r="I9" s="117">
        <v>15052</v>
      </c>
    </row>
    <row r="10" spans="2:9" ht="12.75">
      <c r="B10" s="141" t="s">
        <v>700</v>
      </c>
      <c r="C10" s="142">
        <v>2.5</v>
      </c>
      <c r="D10" s="142">
        <v>17202</v>
      </c>
      <c r="E10" s="118">
        <v>19006</v>
      </c>
      <c r="F10" s="143">
        <v>38427</v>
      </c>
      <c r="G10" s="143">
        <v>21230</v>
      </c>
      <c r="H10" s="143">
        <v>14729</v>
      </c>
      <c r="I10" s="117">
        <v>15504</v>
      </c>
    </row>
    <row r="11" spans="2:9" ht="12.75">
      <c r="B11" s="141" t="s">
        <v>701</v>
      </c>
      <c r="C11" s="142">
        <v>4.3</v>
      </c>
      <c r="D11" s="142">
        <v>16833</v>
      </c>
      <c r="E11" s="118">
        <v>18822</v>
      </c>
      <c r="F11" s="143">
        <v>37693</v>
      </c>
      <c r="G11" s="143">
        <v>20869</v>
      </c>
      <c r="H11" s="143">
        <v>14801</v>
      </c>
      <c r="I11" s="117">
        <v>14786</v>
      </c>
    </row>
    <row r="12" spans="2:9" ht="12.75">
      <c r="B12" s="141" t="s">
        <v>702</v>
      </c>
      <c r="C12" s="142">
        <v>4.2</v>
      </c>
      <c r="D12" s="142">
        <v>17657</v>
      </c>
      <c r="E12" s="118">
        <v>19406</v>
      </c>
      <c r="F12" s="143">
        <v>38166</v>
      </c>
      <c r="G12" s="143">
        <v>21097</v>
      </c>
      <c r="H12" s="143">
        <v>14920</v>
      </c>
      <c r="I12" s="117">
        <v>15418</v>
      </c>
    </row>
    <row r="13" spans="2:9" ht="12.75">
      <c r="B13" s="141" t="s">
        <v>703</v>
      </c>
      <c r="C13" s="142">
        <v>2.1</v>
      </c>
      <c r="D13" s="142">
        <v>17285</v>
      </c>
      <c r="E13" s="118">
        <v>18863</v>
      </c>
      <c r="F13" s="143">
        <v>37925</v>
      </c>
      <c r="G13" s="143">
        <v>21374</v>
      </c>
      <c r="H13" s="143">
        <v>14691</v>
      </c>
      <c r="I13" s="117">
        <v>15549</v>
      </c>
    </row>
    <row r="14" spans="2:9" ht="12.75">
      <c r="B14" s="141" t="s">
        <v>704</v>
      </c>
      <c r="C14" s="142">
        <v>0.3</v>
      </c>
      <c r="D14" s="142">
        <v>16245</v>
      </c>
      <c r="E14" s="118">
        <v>18120</v>
      </c>
      <c r="F14" s="143">
        <v>36562</v>
      </c>
      <c r="G14" s="143">
        <v>21609</v>
      </c>
      <c r="H14" s="143">
        <v>14388</v>
      </c>
      <c r="I14" s="117">
        <v>14444</v>
      </c>
    </row>
    <row r="15" spans="2:9" ht="12.75">
      <c r="B15" s="141" t="s">
        <v>705</v>
      </c>
      <c r="C15" s="142">
        <v>1.8</v>
      </c>
      <c r="D15" s="142">
        <v>16969</v>
      </c>
      <c r="E15" s="118">
        <v>19100</v>
      </c>
      <c r="F15" s="143">
        <v>37374</v>
      </c>
      <c r="G15" s="143">
        <v>21880</v>
      </c>
      <c r="H15" s="143">
        <v>14897</v>
      </c>
      <c r="I15" s="117">
        <v>15693</v>
      </c>
    </row>
    <row r="16" spans="2:9" ht="12.75">
      <c r="B16" s="141" t="s">
        <v>706</v>
      </c>
      <c r="C16" s="142">
        <v>3.1</v>
      </c>
      <c r="D16" s="142">
        <v>18386</v>
      </c>
      <c r="E16" s="118">
        <v>19979</v>
      </c>
      <c r="F16" s="143">
        <v>38410</v>
      </c>
      <c r="G16" s="143">
        <v>22190</v>
      </c>
      <c r="H16" s="143">
        <v>15085</v>
      </c>
      <c r="I16" s="117">
        <v>16274</v>
      </c>
    </row>
    <row r="17" spans="2:9" ht="12.75">
      <c r="B17" s="141" t="s">
        <v>707</v>
      </c>
      <c r="C17" s="142">
        <v>23.6</v>
      </c>
      <c r="D17" s="142">
        <v>24035</v>
      </c>
      <c r="E17" s="118">
        <v>27226</v>
      </c>
      <c r="F17" s="143">
        <v>47224</v>
      </c>
      <c r="G17" s="143">
        <v>22900</v>
      </c>
      <c r="H17" s="143">
        <v>16139</v>
      </c>
      <c r="I17" s="117">
        <v>17235</v>
      </c>
    </row>
    <row r="18" spans="2:9" ht="12.75">
      <c r="B18" s="141" t="s">
        <v>708</v>
      </c>
      <c r="C18" s="142">
        <v>2.9</v>
      </c>
      <c r="D18" s="142">
        <v>17475</v>
      </c>
      <c r="E18" s="118">
        <v>18920</v>
      </c>
      <c r="F18" s="143">
        <v>37495</v>
      </c>
      <c r="G18" s="143">
        <v>20786</v>
      </c>
      <c r="H18" s="143">
        <v>14516</v>
      </c>
      <c r="I18" s="117">
        <v>14677</v>
      </c>
    </row>
    <row r="19" spans="2:9" ht="12.75">
      <c r="B19" s="141" t="s">
        <v>709</v>
      </c>
      <c r="C19" s="142">
        <v>1</v>
      </c>
      <c r="D19" s="142">
        <v>16468</v>
      </c>
      <c r="E19" s="118">
        <v>18126</v>
      </c>
      <c r="F19" s="143">
        <v>37246</v>
      </c>
      <c r="G19" s="143">
        <v>20223</v>
      </c>
      <c r="H19" s="143">
        <v>14579</v>
      </c>
      <c r="I19" s="117">
        <v>14632</v>
      </c>
    </row>
    <row r="20" spans="2:9" ht="12.75">
      <c r="B20" s="141" t="s">
        <v>710</v>
      </c>
      <c r="C20" s="142">
        <v>3.4</v>
      </c>
      <c r="D20" s="142">
        <v>17429</v>
      </c>
      <c r="E20" s="118">
        <v>19314</v>
      </c>
      <c r="F20" s="143">
        <v>37953</v>
      </c>
      <c r="G20" s="143">
        <v>21656</v>
      </c>
      <c r="H20" s="143">
        <v>14815</v>
      </c>
      <c r="I20" s="117">
        <v>15742</v>
      </c>
    </row>
    <row r="21" spans="2:9" ht="12.75">
      <c r="B21" s="141" t="s">
        <v>711</v>
      </c>
      <c r="C21" s="142">
        <v>3.8</v>
      </c>
      <c r="D21" s="142">
        <v>17979</v>
      </c>
      <c r="E21" s="118">
        <v>19894</v>
      </c>
      <c r="F21" s="143">
        <v>37723</v>
      </c>
      <c r="G21" s="143">
        <v>20893</v>
      </c>
      <c r="H21" s="143">
        <v>14865</v>
      </c>
      <c r="I21" s="117">
        <v>14836</v>
      </c>
    </row>
    <row r="22" spans="2:9" ht="12.75">
      <c r="B22" s="141" t="s">
        <v>712</v>
      </c>
      <c r="C22" s="142">
        <v>6.1</v>
      </c>
      <c r="D22" s="142">
        <v>17424</v>
      </c>
      <c r="E22" s="118">
        <v>19154</v>
      </c>
      <c r="F22" s="143">
        <v>37767</v>
      </c>
      <c r="G22" s="143">
        <v>20901</v>
      </c>
      <c r="H22" s="143">
        <v>14794</v>
      </c>
      <c r="I22" s="117">
        <v>15309</v>
      </c>
    </row>
    <row r="23" spans="2:9" ht="12.75">
      <c r="B23" s="141" t="s">
        <v>713</v>
      </c>
      <c r="C23" s="142">
        <v>5.5</v>
      </c>
      <c r="D23" s="142">
        <v>17108</v>
      </c>
      <c r="E23" s="118">
        <v>18856</v>
      </c>
      <c r="F23" s="143">
        <v>38816</v>
      </c>
      <c r="G23" s="143">
        <v>20735</v>
      </c>
      <c r="H23" s="143">
        <v>14864</v>
      </c>
      <c r="I23" s="117">
        <v>14904</v>
      </c>
    </row>
    <row r="24" spans="2:9" ht="12.75">
      <c r="B24" s="141" t="s">
        <v>714</v>
      </c>
      <c r="C24" s="142">
        <v>3.2</v>
      </c>
      <c r="D24" s="142">
        <v>17962</v>
      </c>
      <c r="E24" s="118">
        <v>19638</v>
      </c>
      <c r="F24" s="143">
        <v>39404</v>
      </c>
      <c r="G24" s="143">
        <v>21575</v>
      </c>
      <c r="H24" s="143">
        <v>15094</v>
      </c>
      <c r="I24" s="117">
        <v>15851</v>
      </c>
    </row>
    <row r="25" spans="2:9" ht="12.75">
      <c r="B25" s="141" t="s">
        <v>715</v>
      </c>
      <c r="C25" s="142">
        <v>2.4</v>
      </c>
      <c r="D25" s="142">
        <v>16789</v>
      </c>
      <c r="E25" s="118">
        <v>18240</v>
      </c>
      <c r="F25" s="143">
        <v>37713</v>
      </c>
      <c r="G25" s="143">
        <v>20618</v>
      </c>
      <c r="H25" s="143">
        <v>14862</v>
      </c>
      <c r="I25" s="117">
        <v>14638</v>
      </c>
    </row>
    <row r="26" spans="2:9" ht="12.75">
      <c r="B26" s="141" t="s">
        <v>716</v>
      </c>
      <c r="C26" s="142">
        <v>6.5</v>
      </c>
      <c r="D26" s="142">
        <v>18626</v>
      </c>
      <c r="E26" s="118">
        <v>20443</v>
      </c>
      <c r="F26" s="143">
        <v>39376</v>
      </c>
      <c r="G26" s="143">
        <v>21503</v>
      </c>
      <c r="H26" s="143">
        <v>14792</v>
      </c>
      <c r="I26" s="117">
        <v>15519</v>
      </c>
    </row>
    <row r="27" spans="2:9" ht="12.75">
      <c r="B27" s="144" t="s">
        <v>717</v>
      </c>
      <c r="C27" s="145">
        <v>10</v>
      </c>
      <c r="D27" s="145">
        <v>18834</v>
      </c>
      <c r="E27" s="146">
        <v>20813</v>
      </c>
      <c r="F27" s="147">
        <v>40298</v>
      </c>
      <c r="G27" s="147">
        <v>21427</v>
      </c>
      <c r="H27" s="147">
        <v>15150</v>
      </c>
      <c r="I27" s="148">
        <v>15676</v>
      </c>
    </row>
    <row r="28" spans="2:9" ht="12.75">
      <c r="B28" s="149" t="s">
        <v>718</v>
      </c>
      <c r="C28" s="133">
        <v>98.3</v>
      </c>
      <c r="D28" s="133">
        <v>19272</v>
      </c>
      <c r="E28" s="110">
        <v>21365</v>
      </c>
      <c r="F28" s="135">
        <v>42318</v>
      </c>
      <c r="G28" s="135">
        <v>21648</v>
      </c>
      <c r="H28" s="135">
        <v>15184</v>
      </c>
      <c r="I28" s="109">
        <v>15618</v>
      </c>
    </row>
    <row r="29" spans="2:9" ht="12.75">
      <c r="B29" s="136" t="s">
        <v>719</v>
      </c>
      <c r="C29" s="137">
        <v>0.4</v>
      </c>
      <c r="D29" s="137">
        <v>18418</v>
      </c>
      <c r="E29" s="138">
        <v>19707</v>
      </c>
      <c r="F29" s="139">
        <v>43685</v>
      </c>
      <c r="G29" s="139">
        <v>23045</v>
      </c>
      <c r="H29" s="139">
        <v>15138</v>
      </c>
      <c r="I29" s="140">
        <v>14621</v>
      </c>
    </row>
    <row r="30" spans="2:9" ht="12.75">
      <c r="B30" s="141" t="s">
        <v>720</v>
      </c>
      <c r="C30" s="142">
        <v>0.1</v>
      </c>
      <c r="D30" s="142">
        <v>20688</v>
      </c>
      <c r="E30" s="118">
        <v>22315</v>
      </c>
      <c r="F30" s="143">
        <v>46896</v>
      </c>
      <c r="G30" s="143">
        <v>25763</v>
      </c>
      <c r="H30" s="143">
        <v>16144</v>
      </c>
      <c r="I30" s="117">
        <v>15559</v>
      </c>
    </row>
    <row r="31" spans="2:9" ht="12.75">
      <c r="B31" s="141" t="s">
        <v>721</v>
      </c>
      <c r="C31" s="142">
        <v>0.4</v>
      </c>
      <c r="D31" s="142">
        <v>18860</v>
      </c>
      <c r="E31" s="118">
        <v>19864</v>
      </c>
      <c r="F31" s="143">
        <v>43542</v>
      </c>
      <c r="G31" s="143">
        <v>22383</v>
      </c>
      <c r="H31" s="143">
        <v>14768</v>
      </c>
      <c r="I31" s="117">
        <v>14645</v>
      </c>
    </row>
    <row r="32" spans="2:9" ht="12.75">
      <c r="B32" s="144" t="s">
        <v>722</v>
      </c>
      <c r="C32" s="145">
        <v>0.7</v>
      </c>
      <c r="D32" s="145">
        <v>17055</v>
      </c>
      <c r="E32" s="146">
        <v>18415</v>
      </c>
      <c r="F32" s="147">
        <v>42092</v>
      </c>
      <c r="G32" s="147">
        <v>22122</v>
      </c>
      <c r="H32" s="147">
        <v>14908</v>
      </c>
      <c r="I32" s="148">
        <v>14058</v>
      </c>
    </row>
    <row r="33" spans="2:9" ht="12.75">
      <c r="B33" s="149" t="s">
        <v>723</v>
      </c>
      <c r="C33" s="133">
        <v>100</v>
      </c>
      <c r="D33" s="133">
        <v>19264</v>
      </c>
      <c r="E33" s="110">
        <v>21342</v>
      </c>
      <c r="F33" s="135">
        <v>42356</v>
      </c>
      <c r="G33" s="135">
        <v>21666</v>
      </c>
      <c r="H33" s="135">
        <v>15179</v>
      </c>
      <c r="I33" s="109">
        <v>15602</v>
      </c>
    </row>
  </sheetData>
  <mergeCells count="2">
    <mergeCell ref="D3:I3"/>
    <mergeCell ref="E4:I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K59"/>
  <sheetViews>
    <sheetView workbookViewId="0" topLeftCell="A1">
      <selection activeCell="A1" sqref="A1"/>
    </sheetView>
  </sheetViews>
  <sheetFormatPr defaultColWidth="11.7109375" defaultRowHeight="12.75"/>
  <sheetData>
    <row r="2" ht="12.75">
      <c r="B2" s="1" t="s">
        <v>724</v>
      </c>
    </row>
    <row r="3" ht="12.75">
      <c r="B3" s="1" t="s">
        <v>725</v>
      </c>
    </row>
    <row r="5" spans="2:5" s="1" customFormat="1" ht="12.75">
      <c r="B5" s="150" t="s">
        <v>726</v>
      </c>
      <c r="C5" s="151" t="s">
        <v>727</v>
      </c>
      <c r="D5" s="152" t="s">
        <v>728</v>
      </c>
      <c r="E5" s="153" t="s">
        <v>695</v>
      </c>
    </row>
    <row r="6" spans="2:5" ht="12.75">
      <c r="B6" s="52">
        <v>0</v>
      </c>
      <c r="C6" s="154">
        <v>15</v>
      </c>
      <c r="D6" s="155">
        <v>1.4</v>
      </c>
      <c r="E6" s="156">
        <v>3.4</v>
      </c>
    </row>
    <row r="7" spans="2:5" ht="12.75">
      <c r="B7" s="55">
        <v>15</v>
      </c>
      <c r="C7" s="157">
        <v>25</v>
      </c>
      <c r="D7" s="158">
        <v>0.4</v>
      </c>
      <c r="E7" s="159">
        <v>5.5</v>
      </c>
    </row>
    <row r="8" spans="2:5" ht="12.75">
      <c r="B8" s="55">
        <v>25</v>
      </c>
      <c r="C8" s="157">
        <v>35</v>
      </c>
      <c r="D8" s="158">
        <v>0.7</v>
      </c>
      <c r="E8" s="159">
        <v>15.3</v>
      </c>
    </row>
    <row r="9" spans="2:5" ht="12.75">
      <c r="B9" s="55">
        <v>35</v>
      </c>
      <c r="C9" s="157">
        <v>45</v>
      </c>
      <c r="D9" s="158">
        <v>1.6</v>
      </c>
      <c r="E9" s="159">
        <v>17.4</v>
      </c>
    </row>
    <row r="10" spans="2:5" ht="12.75">
      <c r="B10" s="55">
        <v>45</v>
      </c>
      <c r="C10" s="157">
        <v>60</v>
      </c>
      <c r="D10" s="158">
        <v>4.7</v>
      </c>
      <c r="E10" s="159">
        <v>22.3</v>
      </c>
    </row>
    <row r="11" spans="2:5" ht="12.75">
      <c r="B11" s="55">
        <v>60</v>
      </c>
      <c r="C11" s="157">
        <v>80</v>
      </c>
      <c r="D11" s="158">
        <v>11.3</v>
      </c>
      <c r="E11" s="159">
        <v>19.8</v>
      </c>
    </row>
    <row r="12" spans="2:5" ht="12.75">
      <c r="B12" s="55">
        <v>80</v>
      </c>
      <c r="C12" s="157">
        <v>100</v>
      </c>
      <c r="D12" s="158">
        <v>13.8</v>
      </c>
      <c r="E12" s="159">
        <v>9.4</v>
      </c>
    </row>
    <row r="13" spans="2:5" ht="12.75">
      <c r="B13" s="55">
        <v>100</v>
      </c>
      <c r="C13" s="157">
        <v>150</v>
      </c>
      <c r="D13" s="158">
        <v>34</v>
      </c>
      <c r="E13" s="159">
        <v>6.3</v>
      </c>
    </row>
    <row r="14" spans="2:5" ht="12.75">
      <c r="B14" s="55">
        <v>150</v>
      </c>
      <c r="C14" s="157">
        <v>200</v>
      </c>
      <c r="D14" s="158">
        <v>17</v>
      </c>
      <c r="E14" s="159">
        <v>0.5</v>
      </c>
    </row>
    <row r="15" spans="2:5" ht="12.75">
      <c r="B15" s="73">
        <v>200</v>
      </c>
      <c r="C15" s="160"/>
      <c r="D15" s="161">
        <v>15.1</v>
      </c>
      <c r="E15" s="162">
        <v>0.1</v>
      </c>
    </row>
    <row r="16" spans="2:5" s="1" customFormat="1" ht="12.75">
      <c r="B16" s="150" t="s">
        <v>633</v>
      </c>
      <c r="C16" s="163"/>
      <c r="D16" s="47">
        <v>100</v>
      </c>
      <c r="E16" s="66">
        <v>100</v>
      </c>
    </row>
    <row r="18" ht="12.75">
      <c r="B18" t="s">
        <v>729</v>
      </c>
    </row>
    <row r="46" ht="12.75">
      <c r="D46" s="1" t="s">
        <v>730</v>
      </c>
    </row>
    <row r="48" spans="2:11" s="1" customFormat="1" ht="12.75">
      <c r="B48" s="150" t="s">
        <v>726</v>
      </c>
      <c r="C48" s="164" t="s">
        <v>727</v>
      </c>
      <c r="D48" s="150" t="s">
        <v>731</v>
      </c>
      <c r="E48" s="165" t="s">
        <v>702</v>
      </c>
      <c r="F48" s="164" t="s">
        <v>728</v>
      </c>
      <c r="G48" s="150" t="s">
        <v>732</v>
      </c>
      <c r="H48" s="164" t="s">
        <v>695</v>
      </c>
      <c r="I48" s="150" t="s">
        <v>732</v>
      </c>
      <c r="J48" s="166" t="s">
        <v>733</v>
      </c>
      <c r="K48" s="166" t="s">
        <v>734</v>
      </c>
    </row>
    <row r="49" spans="2:11" ht="12.75">
      <c r="B49" s="34">
        <v>0</v>
      </c>
      <c r="C49" s="167">
        <v>15</v>
      </c>
      <c r="D49" s="168">
        <f aca="true" t="shared" si="0" ref="D49:D58">C49-B49</f>
        <v>15</v>
      </c>
      <c r="E49" s="168">
        <f aca="true" t="shared" si="1" ref="E49:E58">(C49+B49)/2</f>
        <v>7.5</v>
      </c>
      <c r="F49" s="167">
        <v>1.4</v>
      </c>
      <c r="G49" s="34">
        <v>1.4</v>
      </c>
      <c r="H49" s="169">
        <v>3.4</v>
      </c>
      <c r="I49" s="168">
        <v>3.4</v>
      </c>
      <c r="J49" s="170">
        <f aca="true" t="shared" si="2" ref="J49:J58">F49*10/D49</f>
        <v>0.9333333333333333</v>
      </c>
      <c r="K49" s="170">
        <f aca="true" t="shared" si="3" ref="K49:K54">H49*10/D49</f>
        <v>2.2666666666666666</v>
      </c>
    </row>
    <row r="50" spans="2:11" ht="12.75">
      <c r="B50" s="38">
        <v>15</v>
      </c>
      <c r="C50" s="171">
        <v>25</v>
      </c>
      <c r="D50" s="168">
        <f t="shared" si="0"/>
        <v>10</v>
      </c>
      <c r="E50" s="168">
        <f t="shared" si="1"/>
        <v>20</v>
      </c>
      <c r="F50" s="171">
        <v>0.4</v>
      </c>
      <c r="G50" s="38">
        <f aca="true" t="shared" si="4" ref="G50:G58">G49+F50</f>
        <v>1.7999999999999998</v>
      </c>
      <c r="H50" s="171">
        <v>5.5</v>
      </c>
      <c r="I50" s="38">
        <f aca="true" t="shared" si="5" ref="I50:I58">I49+H50</f>
        <v>8.9</v>
      </c>
      <c r="J50" s="170">
        <f t="shared" si="2"/>
        <v>0.4</v>
      </c>
      <c r="K50" s="170">
        <f t="shared" si="3"/>
        <v>5.5</v>
      </c>
    </row>
    <row r="51" spans="2:11" ht="12.75">
      <c r="B51" s="38">
        <v>25</v>
      </c>
      <c r="C51" s="171">
        <v>35</v>
      </c>
      <c r="D51" s="168">
        <f t="shared" si="0"/>
        <v>10</v>
      </c>
      <c r="E51" s="168">
        <f t="shared" si="1"/>
        <v>30</v>
      </c>
      <c r="F51" s="171">
        <v>0.7</v>
      </c>
      <c r="G51" s="38">
        <f t="shared" si="4"/>
        <v>2.5</v>
      </c>
      <c r="H51" s="171">
        <v>15.3</v>
      </c>
      <c r="I51" s="38">
        <f t="shared" si="5"/>
        <v>24.200000000000003</v>
      </c>
      <c r="J51" s="170">
        <f t="shared" si="2"/>
        <v>0.7</v>
      </c>
      <c r="K51" s="170">
        <f t="shared" si="3"/>
        <v>15.3</v>
      </c>
    </row>
    <row r="52" spans="2:11" ht="12.75">
      <c r="B52" s="38">
        <v>35</v>
      </c>
      <c r="C52" s="171">
        <v>45</v>
      </c>
      <c r="D52" s="168">
        <f t="shared" si="0"/>
        <v>10</v>
      </c>
      <c r="E52" s="168">
        <f t="shared" si="1"/>
        <v>40</v>
      </c>
      <c r="F52" s="171">
        <v>1.6</v>
      </c>
      <c r="G52" s="38">
        <f t="shared" si="4"/>
        <v>4.1</v>
      </c>
      <c r="H52" s="171">
        <v>17.4</v>
      </c>
      <c r="I52" s="38">
        <f t="shared" si="5"/>
        <v>41.6</v>
      </c>
      <c r="J52" s="170">
        <f t="shared" si="2"/>
        <v>1.6</v>
      </c>
      <c r="K52" s="170">
        <f t="shared" si="3"/>
        <v>17.4</v>
      </c>
    </row>
    <row r="53" spans="2:11" ht="12.75">
      <c r="B53" s="38">
        <v>45</v>
      </c>
      <c r="C53" s="171">
        <v>60</v>
      </c>
      <c r="D53" s="168">
        <f t="shared" si="0"/>
        <v>15</v>
      </c>
      <c r="E53" s="168">
        <f t="shared" si="1"/>
        <v>52.5</v>
      </c>
      <c r="F53" s="171">
        <v>4.7</v>
      </c>
      <c r="G53" s="38">
        <f t="shared" si="4"/>
        <v>8.8</v>
      </c>
      <c r="H53" s="171">
        <v>22.3</v>
      </c>
      <c r="I53" s="38">
        <f t="shared" si="5"/>
        <v>63.900000000000006</v>
      </c>
      <c r="J53" s="170">
        <f t="shared" si="2"/>
        <v>3.1333333333333333</v>
      </c>
      <c r="K53" s="170">
        <f t="shared" si="3"/>
        <v>14.866666666666667</v>
      </c>
    </row>
    <row r="54" spans="2:11" ht="12.75">
      <c r="B54" s="38">
        <v>60</v>
      </c>
      <c r="C54" s="171">
        <v>80</v>
      </c>
      <c r="D54" s="168">
        <f t="shared" si="0"/>
        <v>20</v>
      </c>
      <c r="E54" s="168">
        <f t="shared" si="1"/>
        <v>70</v>
      </c>
      <c r="F54" s="171">
        <v>11.3</v>
      </c>
      <c r="G54" s="38">
        <f t="shared" si="4"/>
        <v>20.1</v>
      </c>
      <c r="H54" s="171">
        <v>19.8</v>
      </c>
      <c r="I54" s="38">
        <f t="shared" si="5"/>
        <v>83.7</v>
      </c>
      <c r="J54" s="170">
        <f t="shared" si="2"/>
        <v>5.65</v>
      </c>
      <c r="K54" s="170">
        <f t="shared" si="3"/>
        <v>9.9</v>
      </c>
    </row>
    <row r="55" spans="2:11" ht="12.75">
      <c r="B55" s="38">
        <v>80</v>
      </c>
      <c r="C55" s="171">
        <v>100</v>
      </c>
      <c r="D55" s="168">
        <f t="shared" si="0"/>
        <v>20</v>
      </c>
      <c r="E55" s="168">
        <f t="shared" si="1"/>
        <v>90</v>
      </c>
      <c r="F55" s="171">
        <v>13.8</v>
      </c>
      <c r="G55" s="38">
        <f t="shared" si="4"/>
        <v>33.900000000000006</v>
      </c>
      <c r="H55" s="171">
        <v>9.4</v>
      </c>
      <c r="I55" s="38">
        <f t="shared" si="5"/>
        <v>93.10000000000001</v>
      </c>
      <c r="J55" s="170">
        <f t="shared" si="2"/>
        <v>6.9</v>
      </c>
      <c r="K55" s="170">
        <v>4.7</v>
      </c>
    </row>
    <row r="56" spans="2:11" ht="12.75">
      <c r="B56" s="38">
        <v>100</v>
      </c>
      <c r="C56" s="171">
        <v>150</v>
      </c>
      <c r="D56" s="168">
        <f t="shared" si="0"/>
        <v>50</v>
      </c>
      <c r="E56" s="168">
        <f t="shared" si="1"/>
        <v>125</v>
      </c>
      <c r="F56" s="171">
        <v>34</v>
      </c>
      <c r="G56" s="38">
        <f t="shared" si="4"/>
        <v>67.9</v>
      </c>
      <c r="H56" s="171">
        <v>6.3</v>
      </c>
      <c r="I56" s="38">
        <f t="shared" si="5"/>
        <v>99.4</v>
      </c>
      <c r="J56" s="170">
        <f t="shared" si="2"/>
        <v>6.8</v>
      </c>
      <c r="K56" s="170">
        <f>H56*10/D56</f>
        <v>1.26</v>
      </c>
    </row>
    <row r="57" spans="2:11" ht="12.75">
      <c r="B57" s="38">
        <v>150</v>
      </c>
      <c r="C57" s="171">
        <v>200</v>
      </c>
      <c r="D57" s="168">
        <f t="shared" si="0"/>
        <v>50</v>
      </c>
      <c r="E57" s="168">
        <f t="shared" si="1"/>
        <v>175</v>
      </c>
      <c r="F57" s="171">
        <v>17</v>
      </c>
      <c r="G57" s="38">
        <f t="shared" si="4"/>
        <v>84.9</v>
      </c>
      <c r="H57" s="171">
        <v>0.5</v>
      </c>
      <c r="I57" s="38">
        <f t="shared" si="5"/>
        <v>99.9</v>
      </c>
      <c r="J57" s="170">
        <f t="shared" si="2"/>
        <v>3.4</v>
      </c>
      <c r="K57" s="170">
        <f>H57*10/D57</f>
        <v>0.1</v>
      </c>
    </row>
    <row r="58" spans="2:11" ht="12.75">
      <c r="B58" s="43">
        <v>200</v>
      </c>
      <c r="C58" s="172">
        <v>300</v>
      </c>
      <c r="D58" s="168">
        <f t="shared" si="0"/>
        <v>100</v>
      </c>
      <c r="E58" s="168">
        <f t="shared" si="1"/>
        <v>250</v>
      </c>
      <c r="F58" s="172">
        <v>15.1</v>
      </c>
      <c r="G58" s="38">
        <f t="shared" si="4"/>
        <v>100</v>
      </c>
      <c r="H58" s="172">
        <v>0.1</v>
      </c>
      <c r="I58" s="173">
        <f t="shared" si="5"/>
        <v>100</v>
      </c>
      <c r="J58" s="170">
        <f t="shared" si="2"/>
        <v>1.51</v>
      </c>
      <c r="K58" s="170">
        <f>H58*10/D58</f>
        <v>0.01</v>
      </c>
    </row>
    <row r="59" spans="2:11" ht="12.75">
      <c r="B59" s="26" t="s">
        <v>633</v>
      </c>
      <c r="C59" s="21"/>
      <c r="D59" s="26"/>
      <c r="E59" s="26"/>
      <c r="F59" s="174">
        <v>100</v>
      </c>
      <c r="G59" s="175"/>
      <c r="H59" s="174">
        <v>100</v>
      </c>
      <c r="I59" s="175"/>
      <c r="J59" s="176"/>
      <c r="K59" s="176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C3:D13"/>
  <sheetViews>
    <sheetView workbookViewId="0" topLeftCell="A1">
      <selection activeCell="A1" sqref="A1"/>
    </sheetView>
  </sheetViews>
  <sheetFormatPr defaultColWidth="11.421875" defaultRowHeight="12.75"/>
  <cols>
    <col min="1" max="2" width="11.7109375" style="0" customWidth="1"/>
    <col min="3" max="3" width="16.57421875" style="0" customWidth="1"/>
    <col min="4" max="16384" width="11.7109375" style="0" customWidth="1"/>
  </cols>
  <sheetData>
    <row r="3" s="1" customFormat="1" ht="12.75">
      <c r="C3" s="1" t="s">
        <v>735</v>
      </c>
    </row>
    <row r="5" spans="3:4" s="1" customFormat="1" ht="12.75">
      <c r="C5" s="105" t="s">
        <v>736</v>
      </c>
      <c r="D5" s="177" t="s">
        <v>737</v>
      </c>
    </row>
    <row r="6" spans="3:4" ht="12.75">
      <c r="C6" s="4" t="s">
        <v>738</v>
      </c>
      <c r="D6" s="178">
        <v>24</v>
      </c>
    </row>
    <row r="7" spans="3:4" ht="12.75">
      <c r="C7" s="179" t="s">
        <v>739</v>
      </c>
      <c r="D7" s="180">
        <v>15</v>
      </c>
    </row>
    <row r="8" spans="3:4" ht="12.75">
      <c r="C8" s="179" t="s">
        <v>740</v>
      </c>
      <c r="D8" s="180">
        <v>11</v>
      </c>
    </row>
    <row r="9" spans="3:4" ht="12.75">
      <c r="C9" s="179" t="s">
        <v>741</v>
      </c>
      <c r="D9" s="180">
        <v>20</v>
      </c>
    </row>
    <row r="10" spans="3:4" ht="12.75">
      <c r="C10" s="179" t="s">
        <v>742</v>
      </c>
      <c r="D10" s="180">
        <v>11</v>
      </c>
    </row>
    <row r="11" spans="3:4" ht="12.75">
      <c r="C11" s="179" t="s">
        <v>743</v>
      </c>
      <c r="D11" s="180">
        <v>10</v>
      </c>
    </row>
    <row r="12" spans="3:4" ht="12.75">
      <c r="C12" s="179" t="s">
        <v>744</v>
      </c>
      <c r="D12" s="180">
        <v>2.5</v>
      </c>
    </row>
    <row r="13" spans="3:4" ht="12.75">
      <c r="C13" s="181" t="s">
        <v>745</v>
      </c>
      <c r="D13" s="182">
        <v>6.5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C3:E27"/>
  <sheetViews>
    <sheetView workbookViewId="0" topLeftCell="A1">
      <selection activeCell="A1" sqref="A1"/>
    </sheetView>
  </sheetViews>
  <sheetFormatPr defaultColWidth="11.7109375" defaultRowHeight="12.75"/>
  <sheetData>
    <row r="3" s="1" customFormat="1" ht="12.75">
      <c r="C3" s="1" t="s">
        <v>746</v>
      </c>
    </row>
    <row r="5" spans="3:5" s="1" customFormat="1" ht="12.75">
      <c r="C5" s="183" t="s">
        <v>747</v>
      </c>
      <c r="D5" s="177" t="s">
        <v>727</v>
      </c>
      <c r="E5" s="184" t="s">
        <v>748</v>
      </c>
    </row>
    <row r="6" spans="3:5" ht="12.75">
      <c r="C6" s="185"/>
      <c r="D6" s="178">
        <v>2</v>
      </c>
      <c r="E6" s="186">
        <v>26</v>
      </c>
    </row>
    <row r="7" spans="3:5" ht="12.75">
      <c r="C7" s="187">
        <v>2</v>
      </c>
      <c r="D7" s="180">
        <v>4</v>
      </c>
      <c r="E7" s="188">
        <v>318</v>
      </c>
    </row>
    <row r="8" spans="3:5" ht="12.75">
      <c r="C8" s="187">
        <v>4</v>
      </c>
      <c r="D8" s="180">
        <v>6</v>
      </c>
      <c r="E8" s="188">
        <v>283</v>
      </c>
    </row>
    <row r="9" spans="3:5" ht="12.75">
      <c r="C9" s="187">
        <v>6</v>
      </c>
      <c r="D9" s="180">
        <v>8</v>
      </c>
      <c r="E9" s="188">
        <v>254</v>
      </c>
    </row>
    <row r="10" spans="3:5" ht="12.75">
      <c r="C10" s="187">
        <v>8</v>
      </c>
      <c r="D10" s="180">
        <v>10</v>
      </c>
      <c r="E10" s="188">
        <v>201</v>
      </c>
    </row>
    <row r="11" spans="3:5" ht="12.75">
      <c r="C11" s="187">
        <v>10</v>
      </c>
      <c r="D11" s="180">
        <v>20</v>
      </c>
      <c r="E11" s="188">
        <v>96</v>
      </c>
    </row>
    <row r="12" spans="3:5" ht="12.75">
      <c r="C12" s="189">
        <v>20</v>
      </c>
      <c r="D12" s="182" t="s">
        <v>749</v>
      </c>
      <c r="E12" s="190">
        <v>25</v>
      </c>
    </row>
    <row r="14" spans="3:4" ht="12.75">
      <c r="C14" t="s">
        <v>750</v>
      </c>
      <c r="D14" t="s">
        <v>751</v>
      </c>
    </row>
    <row r="15" spans="3:4" ht="12.75">
      <c r="C15" t="s">
        <v>752</v>
      </c>
      <c r="D15" t="s">
        <v>753</v>
      </c>
    </row>
    <row r="16" spans="3:4" ht="12.75">
      <c r="C16" t="s">
        <v>754</v>
      </c>
      <c r="D16" t="s">
        <v>755</v>
      </c>
    </row>
    <row r="17" ht="12.75">
      <c r="D17" t="s">
        <v>756</v>
      </c>
    </row>
    <row r="18" ht="12.75">
      <c r="D18" t="s">
        <v>757</v>
      </c>
    </row>
    <row r="19" ht="12.75">
      <c r="D19" t="s">
        <v>758</v>
      </c>
    </row>
    <row r="20" ht="12.75">
      <c r="D20" t="s">
        <v>759</v>
      </c>
    </row>
    <row r="21" ht="12.75">
      <c r="D21" t="s">
        <v>760</v>
      </c>
    </row>
    <row r="22" ht="12.75">
      <c r="D22" t="s">
        <v>761</v>
      </c>
    </row>
    <row r="23" ht="12.75">
      <c r="D23" t="s">
        <v>762</v>
      </c>
    </row>
    <row r="25" spans="3:4" ht="12.75">
      <c r="C25" t="s">
        <v>763</v>
      </c>
      <c r="D25" t="s">
        <v>764</v>
      </c>
    </row>
    <row r="26" ht="12.75">
      <c r="D26" t="s">
        <v>765</v>
      </c>
    </row>
    <row r="27" ht="12.75">
      <c r="D27" t="s">
        <v>766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C3:D20"/>
  <sheetViews>
    <sheetView workbookViewId="0" topLeftCell="A1">
      <selection activeCell="A1" sqref="A1"/>
    </sheetView>
  </sheetViews>
  <sheetFormatPr defaultColWidth="11.7109375" defaultRowHeight="12.75"/>
  <sheetData>
    <row r="3" s="1" customFormat="1" ht="12.75">
      <c r="C3" s="1" t="s">
        <v>767</v>
      </c>
    </row>
    <row r="5" spans="3:4" s="1" customFormat="1" ht="12.75">
      <c r="C5" s="183" t="s">
        <v>768</v>
      </c>
      <c r="D5" s="44" t="s">
        <v>769</v>
      </c>
    </row>
    <row r="6" spans="3:4" ht="12.75">
      <c r="C6" s="185">
        <v>0</v>
      </c>
      <c r="D6" s="178">
        <v>6</v>
      </c>
    </row>
    <row r="7" spans="3:4" ht="12.75">
      <c r="C7" s="187">
        <v>1</v>
      </c>
      <c r="D7" s="180">
        <v>20</v>
      </c>
    </row>
    <row r="8" spans="3:4" ht="12.75">
      <c r="C8" s="187">
        <v>2</v>
      </c>
      <c r="D8" s="180">
        <v>27</v>
      </c>
    </row>
    <row r="9" spans="3:4" ht="12.75">
      <c r="C9" s="187">
        <v>3</v>
      </c>
      <c r="D9" s="180">
        <v>17</v>
      </c>
    </row>
    <row r="10" spans="3:4" ht="12.75">
      <c r="C10" s="187">
        <v>4</v>
      </c>
      <c r="D10" s="180">
        <v>6</v>
      </c>
    </row>
    <row r="11" spans="3:4" ht="12.75">
      <c r="C11" s="187">
        <v>5</v>
      </c>
      <c r="D11" s="180">
        <v>3</v>
      </c>
    </row>
    <row r="12" spans="3:4" ht="12.75">
      <c r="C12" s="187">
        <v>6</v>
      </c>
      <c r="D12" s="180">
        <v>1</v>
      </c>
    </row>
    <row r="13" spans="3:4" ht="12.75">
      <c r="C13" s="189" t="s">
        <v>770</v>
      </c>
      <c r="D13" s="182">
        <v>0</v>
      </c>
    </row>
    <row r="15" spans="3:4" ht="12.75">
      <c r="C15" t="s">
        <v>771</v>
      </c>
      <c r="D15" t="s">
        <v>772</v>
      </c>
    </row>
    <row r="16" ht="12.75">
      <c r="D16" t="s">
        <v>760</v>
      </c>
    </row>
    <row r="18" ht="12.75">
      <c r="C18" t="s">
        <v>773</v>
      </c>
    </row>
    <row r="20" ht="12.75">
      <c r="C20" t="s">
        <v>774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5:AB28"/>
  <sheetViews>
    <sheetView workbookViewId="0" topLeftCell="A1">
      <selection activeCell="A1" sqref="A1"/>
    </sheetView>
  </sheetViews>
  <sheetFormatPr defaultColWidth="11.421875" defaultRowHeight="12.75"/>
  <cols>
    <col min="1" max="1" width="7.7109375" style="0" customWidth="1"/>
    <col min="2" max="2" width="15.8515625" style="0" customWidth="1"/>
    <col min="3" max="42" width="9.7109375" style="0" customWidth="1"/>
    <col min="43" max="16384" width="11.7109375" style="0" customWidth="1"/>
  </cols>
  <sheetData>
    <row r="5" s="1" customFormat="1" ht="12.75">
      <c r="B5" s="1" t="s">
        <v>775</v>
      </c>
    </row>
    <row r="7" spans="2:28" ht="12.75">
      <c r="B7" s="191" t="s">
        <v>776</v>
      </c>
      <c r="C7" s="192">
        <v>1</v>
      </c>
      <c r="D7" s="193">
        <v>2</v>
      </c>
      <c r="E7" s="193">
        <v>3</v>
      </c>
      <c r="F7" s="193">
        <v>5</v>
      </c>
      <c r="G7" s="193">
        <v>6</v>
      </c>
      <c r="H7" s="193">
        <v>7</v>
      </c>
      <c r="I7" s="193">
        <v>8</v>
      </c>
      <c r="J7" s="193">
        <v>9</v>
      </c>
      <c r="K7" s="193">
        <v>10</v>
      </c>
      <c r="L7" s="193">
        <v>12</v>
      </c>
      <c r="M7" s="193">
        <v>13</v>
      </c>
      <c r="N7" s="193">
        <v>15</v>
      </c>
      <c r="O7" s="194">
        <v>16</v>
      </c>
      <c r="P7" s="193">
        <v>17</v>
      </c>
      <c r="Q7" s="193">
        <v>19</v>
      </c>
      <c r="R7" s="193">
        <v>20</v>
      </c>
      <c r="S7" s="193">
        <v>21</v>
      </c>
      <c r="T7" s="193">
        <v>22</v>
      </c>
      <c r="U7" s="193">
        <v>23</v>
      </c>
      <c r="V7" s="193">
        <v>24</v>
      </c>
      <c r="W7" s="193">
        <v>26</v>
      </c>
      <c r="X7" s="193">
        <v>27</v>
      </c>
      <c r="Y7" s="193">
        <v>28</v>
      </c>
      <c r="Z7" s="193">
        <v>29</v>
      </c>
      <c r="AA7" s="193">
        <v>30</v>
      </c>
      <c r="AB7" s="195">
        <v>31</v>
      </c>
    </row>
    <row r="8" spans="2:28" ht="12.75">
      <c r="B8" s="196" t="s">
        <v>777</v>
      </c>
      <c r="C8" s="6">
        <v>300</v>
      </c>
      <c r="D8" s="197">
        <v>360</v>
      </c>
      <c r="E8" s="197">
        <v>440</v>
      </c>
      <c r="F8" s="197">
        <v>360</v>
      </c>
      <c r="G8" s="197">
        <v>280</v>
      </c>
      <c r="H8" s="197">
        <v>300</v>
      </c>
      <c r="I8" s="197">
        <v>260</v>
      </c>
      <c r="J8" s="197">
        <v>420</v>
      </c>
      <c r="K8" s="197">
        <v>480</v>
      </c>
      <c r="L8" s="197">
        <v>300</v>
      </c>
      <c r="M8" s="197">
        <v>280</v>
      </c>
      <c r="N8" s="197">
        <v>320</v>
      </c>
      <c r="O8" s="198">
        <v>360</v>
      </c>
      <c r="P8" s="197">
        <v>440</v>
      </c>
      <c r="Q8" s="197">
        <v>320</v>
      </c>
      <c r="R8" s="197">
        <v>260</v>
      </c>
      <c r="S8" s="197">
        <v>300</v>
      </c>
      <c r="T8" s="197">
        <v>240</v>
      </c>
      <c r="U8" s="197">
        <v>440</v>
      </c>
      <c r="V8" s="197">
        <v>520</v>
      </c>
      <c r="W8" s="197">
        <v>320</v>
      </c>
      <c r="X8" s="197">
        <v>260</v>
      </c>
      <c r="Y8" s="197">
        <v>320</v>
      </c>
      <c r="Z8" s="197">
        <v>300</v>
      </c>
      <c r="AA8" s="197">
        <v>360</v>
      </c>
      <c r="AB8" s="199">
        <v>420</v>
      </c>
    </row>
    <row r="11" spans="2:3" ht="12.75">
      <c r="B11" s="1" t="s">
        <v>778</v>
      </c>
      <c r="C11" t="s">
        <v>779</v>
      </c>
    </row>
    <row r="15" s="1" customFormat="1" ht="12.75">
      <c r="B15" s="1" t="s">
        <v>780</v>
      </c>
    </row>
    <row r="17" spans="2:13" ht="12.75">
      <c r="B17" s="4" t="s">
        <v>781</v>
      </c>
      <c r="C17" s="200" t="s">
        <v>782</v>
      </c>
      <c r="D17" s="201" t="s">
        <v>783</v>
      </c>
      <c r="E17" s="201" t="s">
        <v>784</v>
      </c>
      <c r="F17" s="201" t="s">
        <v>785</v>
      </c>
      <c r="G17" s="201" t="s">
        <v>786</v>
      </c>
      <c r="H17" s="201" t="s">
        <v>787</v>
      </c>
      <c r="I17" s="201" t="s">
        <v>788</v>
      </c>
      <c r="J17" s="201" t="s">
        <v>789</v>
      </c>
      <c r="K17" s="201" t="s">
        <v>790</v>
      </c>
      <c r="L17" s="201" t="s">
        <v>791</v>
      </c>
      <c r="M17" s="202" t="s">
        <v>792</v>
      </c>
    </row>
    <row r="18" spans="2:13" ht="12.75">
      <c r="B18" s="134" t="s">
        <v>793</v>
      </c>
      <c r="C18" s="5">
        <v>3</v>
      </c>
      <c r="D18" s="7">
        <v>17</v>
      </c>
      <c r="E18" s="7">
        <v>40</v>
      </c>
      <c r="F18" s="7">
        <v>63</v>
      </c>
      <c r="G18" s="7">
        <v>68</v>
      </c>
      <c r="H18" s="7">
        <v>63</v>
      </c>
      <c r="I18" s="7">
        <v>59</v>
      </c>
      <c r="J18" s="7">
        <v>56</v>
      </c>
      <c r="K18" s="7">
        <v>25</v>
      </c>
      <c r="L18" s="7">
        <v>5</v>
      </c>
      <c r="M18" s="9">
        <v>1</v>
      </c>
    </row>
    <row r="21" spans="2:3" ht="12.75">
      <c r="B21" s="1" t="s">
        <v>778</v>
      </c>
      <c r="C21" t="s">
        <v>794</v>
      </c>
    </row>
    <row r="22" ht="12.75">
      <c r="C22" t="s">
        <v>795</v>
      </c>
    </row>
    <row r="23" ht="12.75">
      <c r="C23" t="s">
        <v>796</v>
      </c>
    </row>
    <row r="24" ht="12.75">
      <c r="C24" t="s">
        <v>797</v>
      </c>
    </row>
    <row r="25" ht="12.75">
      <c r="C25" t="s">
        <v>798</v>
      </c>
    </row>
    <row r="26" ht="12.75">
      <c r="C26" t="s">
        <v>799</v>
      </c>
    </row>
    <row r="27" ht="12.75">
      <c r="C27" t="s">
        <v>800</v>
      </c>
    </row>
    <row r="28" ht="12.75">
      <c r="C28" t="s">
        <v>801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4:I25"/>
  <sheetViews>
    <sheetView workbookViewId="0" topLeftCell="A1">
      <selection activeCell="A1" sqref="A1"/>
    </sheetView>
  </sheetViews>
  <sheetFormatPr defaultColWidth="11.421875" defaultRowHeight="12.75"/>
  <cols>
    <col min="6" max="6" width="3.421875" style="0" customWidth="1"/>
  </cols>
  <sheetData>
    <row r="4" ht="12.75">
      <c r="B4" s="1"/>
    </row>
    <row r="5" spans="2:4" ht="12.75">
      <c r="B5" s="1"/>
      <c r="C5" s="203" t="s">
        <v>802</v>
      </c>
      <c r="D5" s="204"/>
    </row>
    <row r="6" ht="12.75">
      <c r="B6" s="1"/>
    </row>
    <row r="7" spans="2:7" ht="12.75">
      <c r="B7" s="27" t="s">
        <v>803</v>
      </c>
      <c r="C7" s="205" t="s">
        <v>804</v>
      </c>
      <c r="D7" s="206" t="s">
        <v>805</v>
      </c>
      <c r="E7" s="207" t="s">
        <v>806</v>
      </c>
      <c r="G7" s="208" t="s">
        <v>807</v>
      </c>
    </row>
    <row r="8" spans="2:7" ht="12.75">
      <c r="B8" s="209" t="s">
        <v>808</v>
      </c>
      <c r="C8" s="210">
        <v>9</v>
      </c>
      <c r="D8" s="211">
        <v>17</v>
      </c>
      <c r="E8" s="212">
        <v>9</v>
      </c>
      <c r="G8" s="213">
        <f aca="true" t="shared" si="0" ref="G8:G19">(C8+2*D8+3*E8)/6</f>
        <v>11.666666666666666</v>
      </c>
    </row>
    <row r="9" spans="2:7" ht="12.75">
      <c r="B9" s="214" t="s">
        <v>809</v>
      </c>
      <c r="C9" s="215">
        <v>15</v>
      </c>
      <c r="D9" s="216">
        <v>9</v>
      </c>
      <c r="E9" s="217">
        <v>12</v>
      </c>
      <c r="G9" s="218">
        <f t="shared" si="0"/>
        <v>11.5</v>
      </c>
    </row>
    <row r="10" spans="2:7" ht="12.75">
      <c r="B10" s="214" t="s">
        <v>810</v>
      </c>
      <c r="C10" s="215">
        <v>14</v>
      </c>
      <c r="D10" s="216">
        <v>8</v>
      </c>
      <c r="E10" s="217">
        <v>15</v>
      </c>
      <c r="G10" s="218">
        <f t="shared" si="0"/>
        <v>12.5</v>
      </c>
    </row>
    <row r="11" spans="2:7" ht="12.75">
      <c r="B11" s="214" t="s">
        <v>811</v>
      </c>
      <c r="C11" s="215">
        <v>7</v>
      </c>
      <c r="D11" s="216">
        <v>13</v>
      </c>
      <c r="E11" s="217">
        <v>8</v>
      </c>
      <c r="G11" s="218">
        <f t="shared" si="0"/>
        <v>9.5</v>
      </c>
    </row>
    <row r="12" spans="2:7" ht="12.75">
      <c r="B12" s="214" t="s">
        <v>812</v>
      </c>
      <c r="C12" s="215">
        <v>10</v>
      </c>
      <c r="D12" s="216">
        <v>12</v>
      </c>
      <c r="E12" s="217">
        <v>13</v>
      </c>
      <c r="G12" s="218">
        <f t="shared" si="0"/>
        <v>12.166666666666666</v>
      </c>
    </row>
    <row r="13" spans="2:7" ht="12.75">
      <c r="B13" s="214" t="s">
        <v>813</v>
      </c>
      <c r="C13" s="215">
        <v>12</v>
      </c>
      <c r="D13" s="216">
        <v>15</v>
      </c>
      <c r="E13" s="217">
        <v>11</v>
      </c>
      <c r="G13" s="218">
        <f t="shared" si="0"/>
        <v>12.5</v>
      </c>
    </row>
    <row r="14" spans="2:7" ht="12.75">
      <c r="B14" s="214" t="s">
        <v>814</v>
      </c>
      <c r="C14" s="215">
        <v>9</v>
      </c>
      <c r="D14" s="216">
        <v>10</v>
      </c>
      <c r="E14" s="217">
        <v>10</v>
      </c>
      <c r="G14" s="218">
        <f t="shared" si="0"/>
        <v>9.833333333333334</v>
      </c>
    </row>
    <row r="15" spans="2:7" ht="12.75">
      <c r="B15" s="214" t="s">
        <v>815</v>
      </c>
      <c r="C15" s="215">
        <v>10</v>
      </c>
      <c r="D15" s="216">
        <v>10</v>
      </c>
      <c r="E15" s="217">
        <v>10</v>
      </c>
      <c r="G15" s="218">
        <f t="shared" si="0"/>
        <v>10</v>
      </c>
    </row>
    <row r="16" spans="2:7" ht="12.75">
      <c r="B16" s="214" t="s">
        <v>816</v>
      </c>
      <c r="C16" s="215">
        <v>12</v>
      </c>
      <c r="D16" s="216">
        <v>9</v>
      </c>
      <c r="E16" s="217">
        <v>12</v>
      </c>
      <c r="G16" s="218">
        <f t="shared" si="0"/>
        <v>11</v>
      </c>
    </row>
    <row r="17" spans="2:7" ht="12.75">
      <c r="B17" s="214" t="s">
        <v>817</v>
      </c>
      <c r="C17" s="215">
        <v>15</v>
      </c>
      <c r="D17" s="216">
        <v>15</v>
      </c>
      <c r="E17" s="217">
        <v>14</v>
      </c>
      <c r="G17" s="218">
        <f t="shared" si="0"/>
        <v>14.5</v>
      </c>
    </row>
    <row r="18" spans="2:7" ht="12.75">
      <c r="B18" s="214" t="s">
        <v>818</v>
      </c>
      <c r="C18" s="215">
        <v>12</v>
      </c>
      <c r="D18" s="216">
        <v>14</v>
      </c>
      <c r="E18" s="217">
        <v>12</v>
      </c>
      <c r="G18" s="218">
        <f t="shared" si="0"/>
        <v>12.666666666666666</v>
      </c>
    </row>
    <row r="19" spans="2:7" ht="12.75">
      <c r="B19" s="219" t="s">
        <v>819</v>
      </c>
      <c r="C19" s="220">
        <v>18</v>
      </c>
      <c r="D19" s="221">
        <v>12</v>
      </c>
      <c r="E19" s="222">
        <v>8</v>
      </c>
      <c r="G19" s="223">
        <f t="shared" si="0"/>
        <v>11</v>
      </c>
    </row>
    <row r="20" spans="7:9" ht="12.75">
      <c r="G20" s="224"/>
      <c r="I20" s="225"/>
    </row>
    <row r="21" spans="2:7" ht="12.75">
      <c r="B21" s="226" t="s">
        <v>807</v>
      </c>
      <c r="C21" s="227">
        <f>AVERAGE(C8:C19)</f>
        <v>11.916666666666666</v>
      </c>
      <c r="D21" s="228">
        <f>AVERAGE(D8:D19)</f>
        <v>12</v>
      </c>
      <c r="E21" s="229">
        <f>AVERAGE(E8:E19)</f>
        <v>11.166666666666666</v>
      </c>
      <c r="F21" s="224"/>
      <c r="G21" s="230">
        <f>AVERAGE(G8:G19)</f>
        <v>11.569444444444443</v>
      </c>
    </row>
    <row r="22" spans="2:7" ht="12.75">
      <c r="B22" s="231" t="s">
        <v>820</v>
      </c>
      <c r="C22" s="232">
        <f>STDEV(C8:C19)</f>
        <v>3.146667308679956</v>
      </c>
      <c r="D22" s="233">
        <f>STDEV(D8:D19)</f>
        <v>2.860387767736777</v>
      </c>
      <c r="E22" s="234">
        <f>STDEV(E8:E19)</f>
        <v>2.249579085208179</v>
      </c>
      <c r="F22" s="224"/>
      <c r="G22" s="235">
        <f>STDEV(G8:G19)</f>
        <v>1.4239267326893592</v>
      </c>
    </row>
    <row r="25" ht="12.75">
      <c r="B25" s="1" t="s">
        <v>821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"/>
    </sheetView>
  </sheetViews>
  <sheetFormatPr defaultColWidth="11.7109375" defaultRowHeight="12.75"/>
  <sheetData>
    <row r="1" ht="12.75">
      <c r="B1" s="1"/>
    </row>
    <row r="2" spans="2:4" ht="12.75">
      <c r="B2" s="1"/>
      <c r="C2" s="203" t="s">
        <v>802</v>
      </c>
      <c r="D2" s="204"/>
    </row>
    <row r="3" ht="12.75">
      <c r="B3" s="1"/>
    </row>
    <row r="4" spans="1:5" ht="12.75">
      <c r="A4" s="1"/>
      <c r="B4" s="150"/>
      <c r="C4" s="205" t="s">
        <v>804</v>
      </c>
      <c r="D4" s="206" t="s">
        <v>805</v>
      </c>
      <c r="E4" s="207" t="s">
        <v>806</v>
      </c>
    </row>
    <row r="5" spans="2:5" ht="12.75">
      <c r="B5" s="209" t="s">
        <v>808</v>
      </c>
      <c r="C5" s="210">
        <v>9</v>
      </c>
      <c r="D5" s="211">
        <v>17</v>
      </c>
      <c r="E5" s="212">
        <v>9</v>
      </c>
    </row>
    <row r="6" spans="2:5" ht="12.75">
      <c r="B6" s="214" t="s">
        <v>813</v>
      </c>
      <c r="C6" s="215">
        <v>12</v>
      </c>
      <c r="D6" s="216">
        <v>15</v>
      </c>
      <c r="E6" s="217">
        <v>11</v>
      </c>
    </row>
    <row r="7" spans="2:5" ht="12.75">
      <c r="B7" s="214" t="s">
        <v>817</v>
      </c>
      <c r="C7" s="215">
        <v>15</v>
      </c>
      <c r="D7" s="216">
        <v>15</v>
      </c>
      <c r="E7" s="217">
        <v>14</v>
      </c>
    </row>
    <row r="8" spans="2:5" ht="12.75">
      <c r="B8" s="214" t="s">
        <v>818</v>
      </c>
      <c r="C8" s="215">
        <v>12</v>
      </c>
      <c r="D8" s="216">
        <v>14</v>
      </c>
      <c r="E8" s="217">
        <v>12</v>
      </c>
    </row>
    <row r="9" spans="2:5" ht="12.75">
      <c r="B9" s="214" t="s">
        <v>811</v>
      </c>
      <c r="C9" s="215">
        <v>7</v>
      </c>
      <c r="D9" s="216">
        <v>13</v>
      </c>
      <c r="E9" s="217">
        <v>8</v>
      </c>
    </row>
    <row r="10" spans="2:5" ht="12.75">
      <c r="B10" s="214" t="s">
        <v>812</v>
      </c>
      <c r="C10" s="215">
        <v>10</v>
      </c>
      <c r="D10" s="216">
        <v>12</v>
      </c>
      <c r="E10" s="217">
        <v>13</v>
      </c>
    </row>
    <row r="11" spans="2:5" ht="12.75">
      <c r="B11" s="214" t="s">
        <v>819</v>
      </c>
      <c r="C11" s="215">
        <v>18</v>
      </c>
      <c r="D11" s="216">
        <v>12</v>
      </c>
      <c r="E11" s="217">
        <v>8</v>
      </c>
    </row>
    <row r="12" spans="2:5" ht="12.75">
      <c r="B12" s="214" t="s">
        <v>814</v>
      </c>
      <c r="C12" s="215">
        <v>9</v>
      </c>
      <c r="D12" s="216">
        <v>10</v>
      </c>
      <c r="E12" s="217">
        <v>10</v>
      </c>
    </row>
    <row r="13" spans="2:5" ht="12.75">
      <c r="B13" s="214" t="s">
        <v>815</v>
      </c>
      <c r="C13" s="215">
        <v>10</v>
      </c>
      <c r="D13" s="216">
        <v>10</v>
      </c>
      <c r="E13" s="217">
        <v>10</v>
      </c>
    </row>
    <row r="14" spans="2:5" ht="12.75">
      <c r="B14" s="214" t="s">
        <v>809</v>
      </c>
      <c r="C14" s="215">
        <v>15</v>
      </c>
      <c r="D14" s="216">
        <v>9</v>
      </c>
      <c r="E14" s="217">
        <v>12</v>
      </c>
    </row>
    <row r="15" spans="2:5" ht="12.75">
      <c r="B15" s="214" t="s">
        <v>816</v>
      </c>
      <c r="C15" s="215">
        <v>12</v>
      </c>
      <c r="D15" s="216">
        <v>9</v>
      </c>
      <c r="E15" s="217">
        <v>12</v>
      </c>
    </row>
    <row r="16" spans="2:5" ht="12.75">
      <c r="B16" s="219" t="s">
        <v>810</v>
      </c>
      <c r="C16" s="220">
        <v>14</v>
      </c>
      <c r="D16" s="221">
        <v>8</v>
      </c>
      <c r="E16" s="222">
        <v>15</v>
      </c>
    </row>
    <row r="55" ht="12.75">
      <c r="F55" s="236"/>
    </row>
    <row r="56" spans="2:6" ht="12.75">
      <c r="B56" s="1"/>
      <c r="C56" s="203" t="s">
        <v>802</v>
      </c>
      <c r="D56" s="204"/>
      <c r="F56" s="236"/>
    </row>
    <row r="57" spans="2:6" ht="12.75">
      <c r="B57" s="1"/>
      <c r="F57" s="236"/>
    </row>
    <row r="58" spans="2:6" ht="12.75">
      <c r="B58" s="150"/>
      <c r="C58" s="205" t="s">
        <v>804</v>
      </c>
      <c r="D58" s="206" t="s">
        <v>805</v>
      </c>
      <c r="E58" s="237" t="s">
        <v>806</v>
      </c>
      <c r="F58" s="238" t="s">
        <v>807</v>
      </c>
    </row>
    <row r="59" spans="2:6" ht="12.75">
      <c r="B59" s="209" t="s">
        <v>808</v>
      </c>
      <c r="C59" s="239">
        <v>9</v>
      </c>
      <c r="D59" s="240">
        <v>17</v>
      </c>
      <c r="E59" s="241">
        <v>9</v>
      </c>
      <c r="F59" s="242">
        <f aca="true" t="shared" si="0" ref="F59:F71">(C59+2*D59+3*E59)/6</f>
        <v>11.666666666666666</v>
      </c>
    </row>
    <row r="60" spans="2:6" ht="12.75">
      <c r="B60" s="214" t="s">
        <v>809</v>
      </c>
      <c r="C60" s="243">
        <v>15</v>
      </c>
      <c r="D60" s="244">
        <v>9</v>
      </c>
      <c r="E60" s="245">
        <v>12</v>
      </c>
      <c r="F60" s="246">
        <f t="shared" si="0"/>
        <v>11.5</v>
      </c>
    </row>
    <row r="61" spans="2:6" ht="12.75">
      <c r="B61" s="214" t="s">
        <v>810</v>
      </c>
      <c r="C61" s="243">
        <v>14</v>
      </c>
      <c r="D61" s="244">
        <v>8</v>
      </c>
      <c r="E61" s="245">
        <v>15</v>
      </c>
      <c r="F61" s="246">
        <f t="shared" si="0"/>
        <v>12.5</v>
      </c>
    </row>
    <row r="62" spans="2:6" ht="12.75">
      <c r="B62" s="214" t="s">
        <v>811</v>
      </c>
      <c r="C62" s="243">
        <v>7</v>
      </c>
      <c r="D62" s="244">
        <v>13</v>
      </c>
      <c r="E62" s="245">
        <v>8</v>
      </c>
      <c r="F62" s="246">
        <f t="shared" si="0"/>
        <v>9.5</v>
      </c>
    </row>
    <row r="63" spans="2:6" ht="12.75">
      <c r="B63" s="214" t="s">
        <v>812</v>
      </c>
      <c r="C63" s="243">
        <v>10</v>
      </c>
      <c r="D63" s="244">
        <v>12</v>
      </c>
      <c r="E63" s="245">
        <v>13</v>
      </c>
      <c r="F63" s="246">
        <f t="shared" si="0"/>
        <v>12.166666666666666</v>
      </c>
    </row>
    <row r="64" spans="2:6" ht="12.75">
      <c r="B64" s="214" t="s">
        <v>813</v>
      </c>
      <c r="C64" s="243">
        <v>12</v>
      </c>
      <c r="D64" s="244">
        <v>15</v>
      </c>
      <c r="E64" s="245">
        <v>11</v>
      </c>
      <c r="F64" s="246">
        <f t="shared" si="0"/>
        <v>12.5</v>
      </c>
    </row>
    <row r="65" spans="2:6" ht="12.75">
      <c r="B65" s="214" t="s">
        <v>814</v>
      </c>
      <c r="C65" s="243">
        <v>9</v>
      </c>
      <c r="D65" s="244">
        <v>10</v>
      </c>
      <c r="E65" s="245">
        <v>10</v>
      </c>
      <c r="F65" s="246">
        <f t="shared" si="0"/>
        <v>9.833333333333334</v>
      </c>
    </row>
    <row r="66" spans="2:6" ht="12.75">
      <c r="B66" s="214" t="s">
        <v>815</v>
      </c>
      <c r="C66" s="243">
        <v>10</v>
      </c>
      <c r="D66" s="244">
        <v>10</v>
      </c>
      <c r="E66" s="245">
        <v>10</v>
      </c>
      <c r="F66" s="246">
        <f t="shared" si="0"/>
        <v>10</v>
      </c>
    </row>
    <row r="67" spans="2:6" ht="12.75">
      <c r="B67" s="214" t="s">
        <v>816</v>
      </c>
      <c r="C67" s="243">
        <v>12</v>
      </c>
      <c r="D67" s="244">
        <v>9</v>
      </c>
      <c r="E67" s="245">
        <v>12</v>
      </c>
      <c r="F67" s="246">
        <f t="shared" si="0"/>
        <v>11</v>
      </c>
    </row>
    <row r="68" spans="2:6" ht="12.75">
      <c r="B68" s="214" t="s">
        <v>817</v>
      </c>
      <c r="C68" s="243">
        <v>15</v>
      </c>
      <c r="D68" s="244">
        <v>15</v>
      </c>
      <c r="E68" s="245">
        <v>14</v>
      </c>
      <c r="F68" s="246">
        <f t="shared" si="0"/>
        <v>14.5</v>
      </c>
    </row>
    <row r="69" spans="2:6" ht="12.75">
      <c r="B69" s="214" t="s">
        <v>818</v>
      </c>
      <c r="C69" s="243">
        <v>12</v>
      </c>
      <c r="D69" s="244">
        <v>14</v>
      </c>
      <c r="E69" s="245">
        <v>12</v>
      </c>
      <c r="F69" s="246">
        <f t="shared" si="0"/>
        <v>12.666666666666666</v>
      </c>
    </row>
    <row r="70" spans="2:6" ht="12.75">
      <c r="B70" s="247" t="s">
        <v>819</v>
      </c>
      <c r="C70" s="248">
        <v>18</v>
      </c>
      <c r="D70" s="249">
        <v>12</v>
      </c>
      <c r="E70" s="250">
        <v>8</v>
      </c>
      <c r="F70" s="251">
        <f t="shared" si="0"/>
        <v>11</v>
      </c>
    </row>
    <row r="71" spans="1:6" ht="12.75">
      <c r="A71" s="236"/>
      <c r="B71" s="252" t="s">
        <v>807</v>
      </c>
      <c r="C71" s="253">
        <f>AVERAGE(C59:C70)</f>
        <v>11.916666666666666</v>
      </c>
      <c r="D71" s="254">
        <f>AVERAGE(D59:D70)</f>
        <v>12</v>
      </c>
      <c r="E71" s="255">
        <f>AVERAGE(E59:E70)</f>
        <v>11.166666666666666</v>
      </c>
      <c r="F71" s="256">
        <f t="shared" si="0"/>
        <v>11.569444444444443</v>
      </c>
    </row>
    <row r="72" spans="1:6" ht="12.75">
      <c r="A72" s="236"/>
      <c r="B72" s="257" t="s">
        <v>822</v>
      </c>
      <c r="C72" s="258">
        <f>STDEV(C59:C70)</f>
        <v>3.146667308679956</v>
      </c>
      <c r="D72" s="259">
        <f>STDEV(D59:D70)</f>
        <v>2.860387767736777</v>
      </c>
      <c r="E72" s="260">
        <f>STDEV(E59:E70)</f>
        <v>2.249579085208179</v>
      </c>
      <c r="F72" s="261"/>
    </row>
    <row r="73" spans="2:6" ht="13.5">
      <c r="B73" s="262"/>
      <c r="C73" s="236"/>
      <c r="D73" s="236"/>
      <c r="E73" s="236"/>
      <c r="F73" s="236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3:K53"/>
  <sheetViews>
    <sheetView workbookViewId="0" topLeftCell="A1">
      <selection activeCell="A1" sqref="A1"/>
    </sheetView>
  </sheetViews>
  <sheetFormatPr defaultColWidth="11.421875" defaultRowHeight="12.75"/>
  <cols>
    <col min="2" max="2" width="15.00390625" style="0" customWidth="1"/>
  </cols>
  <sheetData>
    <row r="3" ht="12.75">
      <c r="B3" s="1" t="s">
        <v>823</v>
      </c>
    </row>
    <row r="5" ht="12.75">
      <c r="B5" t="s">
        <v>824</v>
      </c>
    </row>
    <row r="6" ht="12.75">
      <c r="B6" t="s">
        <v>825</v>
      </c>
    </row>
    <row r="7" ht="12.75">
      <c r="B7" t="s">
        <v>826</v>
      </c>
    </row>
    <row r="8" ht="12.75">
      <c r="B8" t="s">
        <v>827</v>
      </c>
    </row>
    <row r="10" spans="2:5" ht="12.75">
      <c r="B10" s="49" t="s">
        <v>828</v>
      </c>
      <c r="C10" s="263" t="s">
        <v>829</v>
      </c>
      <c r="D10" s="264" t="s">
        <v>830</v>
      </c>
      <c r="E10" s="265" t="s">
        <v>831</v>
      </c>
    </row>
    <row r="11" spans="2:5" ht="12.75">
      <c r="B11" s="73" t="s">
        <v>832</v>
      </c>
      <c r="C11" s="160" t="s">
        <v>833</v>
      </c>
      <c r="D11" s="161" t="s">
        <v>834</v>
      </c>
      <c r="E11" s="162" t="s">
        <v>835</v>
      </c>
    </row>
    <row r="12" spans="2:5" ht="12.75">
      <c r="B12" s="31">
        <v>1</v>
      </c>
      <c r="C12" s="154">
        <v>1</v>
      </c>
      <c r="D12" s="155">
        <v>100</v>
      </c>
      <c r="E12" s="156">
        <f>D12*C12</f>
        <v>100</v>
      </c>
    </row>
    <row r="13" spans="2:5" ht="12.75">
      <c r="B13" s="35">
        <v>2</v>
      </c>
      <c r="C13" s="157">
        <v>2</v>
      </c>
      <c r="D13" s="158">
        <v>45</v>
      </c>
      <c r="E13" s="159">
        <f>D13*C13</f>
        <v>90</v>
      </c>
    </row>
    <row r="14" spans="2:5" ht="12.75">
      <c r="B14" s="65">
        <v>3</v>
      </c>
      <c r="C14" s="266">
        <v>0.5</v>
      </c>
      <c r="D14" s="267">
        <v>30</v>
      </c>
      <c r="E14" s="268">
        <f>D14*C14</f>
        <v>15</v>
      </c>
    </row>
    <row r="15" spans="2:5" ht="12.75">
      <c r="B15" s="27" t="s">
        <v>633</v>
      </c>
      <c r="C15" s="269">
        <f>SUM(C12:C14)</f>
        <v>3.5</v>
      </c>
      <c r="D15" s="270"/>
      <c r="E15" s="271">
        <f>SUM(E12:E14)</f>
        <v>205</v>
      </c>
    </row>
    <row r="17" spans="2:4" ht="12.75">
      <c r="B17" t="s">
        <v>836</v>
      </c>
      <c r="C17" s="272">
        <f>E15/C15</f>
        <v>58.57142857142857</v>
      </c>
      <c r="D17" t="s">
        <v>837</v>
      </c>
    </row>
    <row r="18" ht="12.75">
      <c r="C18" s="272"/>
    </row>
    <row r="19" spans="2:3" ht="12.75">
      <c r="B19" t="s">
        <v>838</v>
      </c>
      <c r="C19" s="272"/>
    </row>
    <row r="20" spans="2:3" ht="12.75">
      <c r="B20" t="s">
        <v>839</v>
      </c>
      <c r="C20" s="272"/>
    </row>
    <row r="21" ht="12.75">
      <c r="B21" t="s">
        <v>840</v>
      </c>
    </row>
    <row r="24" ht="12.75">
      <c r="B24" s="1" t="s">
        <v>841</v>
      </c>
    </row>
    <row r="26" spans="2:5" ht="12.75">
      <c r="B26" s="49" t="s">
        <v>828</v>
      </c>
      <c r="C26" s="263" t="s">
        <v>831</v>
      </c>
      <c r="D26" s="264" t="s">
        <v>830</v>
      </c>
      <c r="E26" s="265" t="s">
        <v>829</v>
      </c>
    </row>
    <row r="27" spans="2:5" ht="12.75">
      <c r="B27" s="73" t="s">
        <v>832</v>
      </c>
      <c r="C27" s="160" t="s">
        <v>835</v>
      </c>
      <c r="D27" s="161" t="s">
        <v>834</v>
      </c>
      <c r="E27" s="162" t="s">
        <v>833</v>
      </c>
    </row>
    <row r="28" spans="2:5" ht="12.75">
      <c r="B28" s="31">
        <v>1</v>
      </c>
      <c r="C28" s="154">
        <v>20</v>
      </c>
      <c r="D28" s="155">
        <v>40</v>
      </c>
      <c r="E28" s="156">
        <f>C28/D28</f>
        <v>0.5</v>
      </c>
    </row>
    <row r="29" spans="2:5" ht="12.75">
      <c r="B29" s="35">
        <v>2</v>
      </c>
      <c r="C29" s="157">
        <v>10</v>
      </c>
      <c r="D29" s="158">
        <v>50</v>
      </c>
      <c r="E29" s="159">
        <f>C29/D29</f>
        <v>0.2</v>
      </c>
    </row>
    <row r="30" spans="2:5" ht="12.75">
      <c r="B30" s="65">
        <v>3</v>
      </c>
      <c r="C30" s="266">
        <v>15</v>
      </c>
      <c r="D30" s="267">
        <v>20</v>
      </c>
      <c r="E30" s="268">
        <f>C30/D30</f>
        <v>0.75</v>
      </c>
    </row>
    <row r="31" spans="2:5" ht="12.75">
      <c r="B31" s="27" t="s">
        <v>633</v>
      </c>
      <c r="C31" s="269">
        <f>SUM(C28:C30)</f>
        <v>45</v>
      </c>
      <c r="D31" s="270"/>
      <c r="E31" s="271">
        <f>SUM(E28:E30)</f>
        <v>1.45</v>
      </c>
    </row>
    <row r="33" spans="2:4" ht="12.75">
      <c r="B33" t="s">
        <v>842</v>
      </c>
      <c r="C33" s="272">
        <f>C31/E31</f>
        <v>31.03448275862069</v>
      </c>
      <c r="D33" t="s">
        <v>837</v>
      </c>
    </row>
    <row r="36" ht="12.75">
      <c r="B36" s="1" t="s">
        <v>843</v>
      </c>
    </row>
    <row r="38" ht="12.75">
      <c r="B38" t="s">
        <v>844</v>
      </c>
    </row>
    <row r="39" ht="12.75">
      <c r="B39" t="s">
        <v>845</v>
      </c>
    </row>
    <row r="40" ht="12.75">
      <c r="B40" t="s">
        <v>846</v>
      </c>
    </row>
    <row r="41" spans="8:11" ht="12.75">
      <c r="H41" s="273"/>
      <c r="I41" s="273"/>
      <c r="J41" s="273"/>
      <c r="K41" s="273"/>
    </row>
    <row r="42" spans="2:11" ht="12.75">
      <c r="B42" s="49" t="s">
        <v>847</v>
      </c>
      <c r="C42" s="263" t="s">
        <v>848</v>
      </c>
      <c r="D42" s="264" t="s">
        <v>849</v>
      </c>
      <c r="E42" s="265" t="s">
        <v>850</v>
      </c>
      <c r="H42" s="274"/>
      <c r="I42" s="274"/>
      <c r="J42" s="274"/>
      <c r="K42" s="274"/>
    </row>
    <row r="43" spans="2:11" ht="12.75">
      <c r="B43" s="73" t="s">
        <v>832</v>
      </c>
      <c r="C43" s="275" t="s">
        <v>851</v>
      </c>
      <c r="D43" s="276" t="s">
        <v>852</v>
      </c>
      <c r="E43" s="277" t="s">
        <v>853</v>
      </c>
      <c r="H43" s="274"/>
      <c r="I43" s="274"/>
      <c r="J43" s="274"/>
      <c r="K43" s="274"/>
    </row>
    <row r="44" spans="2:11" ht="12.75">
      <c r="B44" s="31">
        <v>1</v>
      </c>
      <c r="C44" s="154">
        <v>400</v>
      </c>
      <c r="D44" s="155"/>
      <c r="E44" s="278">
        <v>1.4</v>
      </c>
      <c r="H44" s="274"/>
      <c r="I44" s="279"/>
      <c r="J44" s="279"/>
      <c r="K44" s="224"/>
    </row>
    <row r="45" spans="2:11" ht="12.75">
      <c r="B45" s="35">
        <v>2</v>
      </c>
      <c r="C45" s="157">
        <v>500</v>
      </c>
      <c r="D45" s="158">
        <v>650</v>
      </c>
      <c r="E45" s="280"/>
      <c r="H45" s="274"/>
      <c r="I45" s="279"/>
      <c r="J45" s="279"/>
      <c r="K45" s="224"/>
    </row>
    <row r="46" spans="2:11" ht="12.75">
      <c r="B46" s="65">
        <v>3</v>
      </c>
      <c r="C46" s="266"/>
      <c r="D46" s="267">
        <v>800</v>
      </c>
      <c r="E46" s="281">
        <v>1.3</v>
      </c>
      <c r="H46" s="274"/>
      <c r="I46" s="279"/>
      <c r="J46" s="279"/>
      <c r="K46" s="224"/>
    </row>
    <row r="47" spans="2:11" ht="12.75">
      <c r="B47" s="27" t="s">
        <v>633</v>
      </c>
      <c r="C47" s="269"/>
      <c r="D47" s="270"/>
      <c r="E47" s="282"/>
      <c r="H47" s="274"/>
      <c r="I47" s="279"/>
      <c r="J47" s="279"/>
      <c r="K47" s="279"/>
    </row>
    <row r="48" spans="8:11" ht="12.75">
      <c r="H48" s="273"/>
      <c r="I48" s="273"/>
      <c r="J48" s="273"/>
      <c r="K48" s="273"/>
    </row>
    <row r="49" spans="2:11" ht="12.75">
      <c r="B49" t="s">
        <v>854</v>
      </c>
      <c r="H49" s="273"/>
      <c r="I49" s="273"/>
      <c r="J49" s="273"/>
      <c r="K49" s="273"/>
    </row>
    <row r="50" spans="2:11" ht="12.75">
      <c r="B50" t="s">
        <v>855</v>
      </c>
      <c r="H50" s="273"/>
      <c r="I50" s="273"/>
      <c r="J50" s="273"/>
      <c r="K50" s="273"/>
    </row>
    <row r="51" spans="8:11" ht="12.75">
      <c r="H51" s="273"/>
      <c r="I51" s="273"/>
      <c r="J51" s="279"/>
      <c r="K51" s="273"/>
    </row>
    <row r="52" spans="8:11" ht="12.75">
      <c r="H52" s="273"/>
      <c r="I52" s="273"/>
      <c r="J52" s="273"/>
      <c r="K52" s="273"/>
    </row>
    <row r="53" spans="8:11" ht="12.75">
      <c r="H53" s="273"/>
      <c r="I53" s="273"/>
      <c r="J53" s="273"/>
      <c r="K53" s="273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3:C30"/>
  <sheetViews>
    <sheetView workbookViewId="0" topLeftCell="A1">
      <selection activeCell="A1" sqref="A1"/>
    </sheetView>
  </sheetViews>
  <sheetFormatPr defaultColWidth="11.421875" defaultRowHeight="12.75"/>
  <sheetData>
    <row r="3" ht="12.75">
      <c r="B3" t="s">
        <v>856</v>
      </c>
    </row>
    <row r="6" ht="12.75">
      <c r="B6" t="s">
        <v>857</v>
      </c>
    </row>
    <row r="8" ht="12.75">
      <c r="C8" t="s">
        <v>858</v>
      </c>
    </row>
    <row r="9" ht="12.75">
      <c r="C9" t="s">
        <v>859</v>
      </c>
    </row>
    <row r="10" ht="12.75">
      <c r="C10" t="s">
        <v>860</v>
      </c>
    </row>
    <row r="12" ht="12.75">
      <c r="B12" t="s">
        <v>861</v>
      </c>
    </row>
    <row r="15" ht="12.75">
      <c r="B15" t="s">
        <v>862</v>
      </c>
    </row>
    <row r="17" ht="12.75">
      <c r="C17" t="s">
        <v>863</v>
      </c>
    </row>
    <row r="18" ht="12.75">
      <c r="C18" t="s">
        <v>864</v>
      </c>
    </row>
    <row r="19" ht="12.75">
      <c r="C19" t="s">
        <v>865</v>
      </c>
    </row>
    <row r="21" ht="12.75">
      <c r="B21" t="s">
        <v>861</v>
      </c>
    </row>
    <row r="24" ht="12.75">
      <c r="B24" t="s">
        <v>866</v>
      </c>
    </row>
    <row r="26" ht="12.75">
      <c r="C26" t="s">
        <v>867</v>
      </c>
    </row>
    <row r="27" ht="12.75">
      <c r="C27" t="s">
        <v>868</v>
      </c>
    </row>
    <row r="28" ht="12.75">
      <c r="C28" t="s">
        <v>869</v>
      </c>
    </row>
    <row r="30" ht="12.75">
      <c r="B30" t="s">
        <v>870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M21"/>
  <sheetViews>
    <sheetView workbookViewId="0" topLeftCell="A1">
      <selection activeCell="A1" sqref="A1"/>
    </sheetView>
  </sheetViews>
  <sheetFormatPr defaultColWidth="11.421875" defaultRowHeight="12.75"/>
  <cols>
    <col min="1" max="1" width="6.421875" style="0" customWidth="1"/>
    <col min="2" max="16384" width="11.7109375" style="0" customWidth="1"/>
  </cols>
  <sheetData>
    <row r="2" spans="2:13" ht="15.75">
      <c r="B2" s="2"/>
      <c r="C2" s="3"/>
      <c r="D2" s="283"/>
      <c r="E2" s="3"/>
      <c r="F2" s="3"/>
      <c r="G2" s="284" t="s">
        <v>871</v>
      </c>
      <c r="H2" s="3"/>
      <c r="I2" s="3"/>
      <c r="J2" s="225"/>
      <c r="K2" s="225"/>
      <c r="L2" s="225"/>
      <c r="M2" s="225"/>
    </row>
    <row r="3" spans="2:13" ht="15">
      <c r="B3" s="77"/>
      <c r="C3" s="77"/>
      <c r="D3" s="285"/>
      <c r="E3" s="77"/>
      <c r="F3" s="77"/>
      <c r="G3" s="286" t="s">
        <v>872</v>
      </c>
      <c r="H3" s="77"/>
      <c r="I3" s="77"/>
      <c r="J3" s="287"/>
      <c r="K3" s="287"/>
      <c r="L3" s="287"/>
      <c r="M3" s="287"/>
    </row>
    <row r="4" spans="2:13" ht="12.75">
      <c r="B4" s="2"/>
      <c r="C4" s="3"/>
      <c r="D4" s="283"/>
      <c r="E4" s="3"/>
      <c r="F4" s="3"/>
      <c r="G4" s="3"/>
      <c r="H4" s="225"/>
      <c r="I4" s="3"/>
      <c r="J4" s="225"/>
      <c r="K4" s="225"/>
      <c r="L4" s="225"/>
      <c r="M4" s="225"/>
    </row>
    <row r="5" spans="2:13" ht="12.75">
      <c r="B5" s="288" t="s">
        <v>873</v>
      </c>
      <c r="C5" s="289" t="s">
        <v>874</v>
      </c>
      <c r="D5" s="290" t="s">
        <v>875</v>
      </c>
      <c r="E5" s="291" t="s">
        <v>876</v>
      </c>
      <c r="F5" s="291" t="s">
        <v>877</v>
      </c>
      <c r="G5" s="291" t="s">
        <v>878</v>
      </c>
      <c r="H5" s="291" t="s">
        <v>879</v>
      </c>
      <c r="I5" s="291" t="s">
        <v>633</v>
      </c>
      <c r="J5" s="292" t="s">
        <v>880</v>
      </c>
      <c r="K5" s="292" t="s">
        <v>881</v>
      </c>
      <c r="L5" s="292" t="s">
        <v>882</v>
      </c>
      <c r="M5" s="293" t="s">
        <v>633</v>
      </c>
    </row>
    <row r="6" spans="2:13" ht="12.75">
      <c r="B6" s="31">
        <v>1981</v>
      </c>
      <c r="C6" s="154">
        <v>54182</v>
      </c>
      <c r="D6" s="294">
        <f aca="true" t="shared" si="0" ref="D6:D21">C6/100</f>
        <v>541.82</v>
      </c>
      <c r="E6" s="155">
        <v>805</v>
      </c>
      <c r="F6" s="155">
        <v>555</v>
      </c>
      <c r="G6" s="155">
        <v>251</v>
      </c>
      <c r="H6" s="155">
        <v>56</v>
      </c>
      <c r="I6" s="155">
        <v>306</v>
      </c>
      <c r="J6" s="295" t="s">
        <v>883</v>
      </c>
      <c r="K6" s="295" t="s">
        <v>884</v>
      </c>
      <c r="L6" s="295" t="s">
        <v>885</v>
      </c>
      <c r="M6" s="296" t="s">
        <v>886</v>
      </c>
    </row>
    <row r="7" spans="2:13" ht="12.75">
      <c r="B7" s="35">
        <v>1982</v>
      </c>
      <c r="C7" s="157">
        <v>54492</v>
      </c>
      <c r="D7" s="297">
        <f t="shared" si="0"/>
        <v>544.92</v>
      </c>
      <c r="E7" s="158">
        <v>797</v>
      </c>
      <c r="F7" s="158">
        <v>543</v>
      </c>
      <c r="G7" s="158">
        <v>254</v>
      </c>
      <c r="H7" s="158">
        <v>61</v>
      </c>
      <c r="I7" s="158">
        <v>315</v>
      </c>
      <c r="J7" s="298" t="s">
        <v>887</v>
      </c>
      <c r="K7" s="298" t="s">
        <v>888</v>
      </c>
      <c r="L7" s="298" t="s">
        <v>885</v>
      </c>
      <c r="M7" s="299" t="s">
        <v>889</v>
      </c>
    </row>
    <row r="8" spans="2:13" ht="12.75">
      <c r="B8" s="35">
        <v>1983</v>
      </c>
      <c r="C8" s="157">
        <v>54772</v>
      </c>
      <c r="D8" s="297">
        <f t="shared" si="0"/>
        <v>547.72</v>
      </c>
      <c r="E8" s="158">
        <v>749</v>
      </c>
      <c r="F8" s="158">
        <v>560</v>
      </c>
      <c r="G8" s="158">
        <v>189</v>
      </c>
      <c r="H8" s="158">
        <v>56</v>
      </c>
      <c r="I8" s="158">
        <v>245</v>
      </c>
      <c r="J8" s="298" t="s">
        <v>890</v>
      </c>
      <c r="K8" s="298" t="s">
        <v>884</v>
      </c>
      <c r="L8" s="298" t="s">
        <v>891</v>
      </c>
      <c r="M8" s="299" t="s">
        <v>892</v>
      </c>
    </row>
    <row r="9" spans="2:13" ht="12.75">
      <c r="B9" s="35">
        <v>1984</v>
      </c>
      <c r="C9" s="157">
        <v>55026</v>
      </c>
      <c r="D9" s="297">
        <f t="shared" si="0"/>
        <v>550.26</v>
      </c>
      <c r="E9" s="158">
        <v>760</v>
      </c>
      <c r="F9" s="158">
        <v>542</v>
      </c>
      <c r="G9" s="158">
        <v>217</v>
      </c>
      <c r="H9" s="158">
        <v>45</v>
      </c>
      <c r="I9" s="158">
        <v>262</v>
      </c>
      <c r="J9" s="298" t="s">
        <v>893</v>
      </c>
      <c r="K9" s="298" t="s">
        <v>894</v>
      </c>
      <c r="L9" s="298" t="s">
        <v>895</v>
      </c>
      <c r="M9" s="299" t="s">
        <v>896</v>
      </c>
    </row>
    <row r="10" spans="2:13" ht="12.75">
      <c r="B10" s="35">
        <v>1985</v>
      </c>
      <c r="C10" s="157">
        <v>55284</v>
      </c>
      <c r="D10" s="297">
        <f t="shared" si="0"/>
        <v>552.84</v>
      </c>
      <c r="E10" s="158">
        <v>768</v>
      </c>
      <c r="F10" s="158">
        <v>552</v>
      </c>
      <c r="G10" s="158">
        <v>216</v>
      </c>
      <c r="H10" s="158">
        <v>38</v>
      </c>
      <c r="I10" s="158">
        <v>254</v>
      </c>
      <c r="J10" s="298" t="s">
        <v>897</v>
      </c>
      <c r="K10" s="298" t="s">
        <v>888</v>
      </c>
      <c r="L10" s="298" t="s">
        <v>895</v>
      </c>
      <c r="M10" s="299" t="s">
        <v>885</v>
      </c>
    </row>
    <row r="11" spans="2:13" ht="12.75">
      <c r="B11" s="35">
        <v>1986</v>
      </c>
      <c r="C11" s="157">
        <v>55547</v>
      </c>
      <c r="D11" s="297">
        <f t="shared" si="0"/>
        <v>555.47</v>
      </c>
      <c r="E11" s="158">
        <v>778</v>
      </c>
      <c r="F11" s="158">
        <v>547</v>
      </c>
      <c r="G11" s="158">
        <v>232</v>
      </c>
      <c r="H11" s="158">
        <v>39</v>
      </c>
      <c r="I11" s="158">
        <v>271</v>
      </c>
      <c r="J11" s="298" t="s">
        <v>898</v>
      </c>
      <c r="K11" s="298" t="s">
        <v>899</v>
      </c>
      <c r="L11" s="298" t="s">
        <v>900</v>
      </c>
      <c r="M11" s="299" t="s">
        <v>901</v>
      </c>
    </row>
    <row r="12" spans="2:13" ht="12.75">
      <c r="B12" s="35">
        <v>1987</v>
      </c>
      <c r="C12" s="157">
        <v>55824</v>
      </c>
      <c r="D12" s="297">
        <f t="shared" si="0"/>
        <v>558.24</v>
      </c>
      <c r="E12" s="158">
        <v>758</v>
      </c>
      <c r="F12" s="158">
        <v>527</v>
      </c>
      <c r="G12" s="158">
        <v>240</v>
      </c>
      <c r="H12" s="158">
        <v>44</v>
      </c>
      <c r="I12" s="158">
        <v>284</v>
      </c>
      <c r="J12" s="298" t="s">
        <v>893</v>
      </c>
      <c r="K12" s="298" t="s">
        <v>902</v>
      </c>
      <c r="L12" s="298" t="s">
        <v>903</v>
      </c>
      <c r="M12" s="299" t="s">
        <v>904</v>
      </c>
    </row>
    <row r="13" spans="2:13" ht="12.75">
      <c r="B13" s="35">
        <v>1988</v>
      </c>
      <c r="C13" s="157">
        <v>56118</v>
      </c>
      <c r="D13" s="297">
        <f t="shared" si="0"/>
        <v>561.18</v>
      </c>
      <c r="E13" s="158">
        <v>771</v>
      </c>
      <c r="F13" s="158">
        <v>525</v>
      </c>
      <c r="G13" s="158">
        <v>247</v>
      </c>
      <c r="H13" s="158">
        <v>57</v>
      </c>
      <c r="I13" s="158">
        <v>304</v>
      </c>
      <c r="J13" s="298" t="s">
        <v>890</v>
      </c>
      <c r="K13" s="298" t="s">
        <v>905</v>
      </c>
      <c r="L13" s="298" t="s">
        <v>903</v>
      </c>
      <c r="M13" s="299" t="s">
        <v>906</v>
      </c>
    </row>
    <row r="14" spans="2:13" ht="12.75">
      <c r="B14" s="35">
        <v>1989</v>
      </c>
      <c r="C14" s="157">
        <v>56423</v>
      </c>
      <c r="D14" s="297">
        <f t="shared" si="0"/>
        <v>564.23</v>
      </c>
      <c r="E14" s="158">
        <v>765</v>
      </c>
      <c r="F14" s="158">
        <v>529</v>
      </c>
      <c r="G14" s="158">
        <v>236</v>
      </c>
      <c r="H14" s="158">
        <v>71</v>
      </c>
      <c r="I14" s="158">
        <v>307</v>
      </c>
      <c r="J14" s="298" t="s">
        <v>907</v>
      </c>
      <c r="K14" s="298" t="s">
        <v>902</v>
      </c>
      <c r="L14" s="298" t="s">
        <v>900</v>
      </c>
      <c r="M14" s="299" t="s">
        <v>906</v>
      </c>
    </row>
    <row r="15" spans="2:13" ht="12.75">
      <c r="B15" s="35">
        <v>1990</v>
      </c>
      <c r="C15" s="157">
        <v>56735</v>
      </c>
      <c r="D15" s="297">
        <f t="shared" si="0"/>
        <v>567.35</v>
      </c>
      <c r="E15" s="158">
        <v>762</v>
      </c>
      <c r="F15" s="158">
        <v>526</v>
      </c>
      <c r="G15" s="158">
        <v>236</v>
      </c>
      <c r="H15" s="158">
        <v>80</v>
      </c>
      <c r="I15" s="158">
        <v>319</v>
      </c>
      <c r="J15" s="298" t="s">
        <v>908</v>
      </c>
      <c r="K15" s="298" t="s">
        <v>905</v>
      </c>
      <c r="L15" s="298" t="s">
        <v>909</v>
      </c>
      <c r="M15" s="299" t="s">
        <v>910</v>
      </c>
    </row>
    <row r="16" spans="2:13" ht="12.75">
      <c r="B16" s="35">
        <v>1991</v>
      </c>
      <c r="C16" s="157">
        <v>57055</v>
      </c>
      <c r="D16" s="297">
        <f t="shared" si="0"/>
        <v>570.55</v>
      </c>
      <c r="E16" s="158">
        <v>759</v>
      </c>
      <c r="F16" s="158">
        <v>525</v>
      </c>
      <c r="G16" s="158">
        <v>234</v>
      </c>
      <c r="H16" s="158">
        <v>90</v>
      </c>
      <c r="I16" s="158">
        <v>323</v>
      </c>
      <c r="J16" s="298" t="s">
        <v>911</v>
      </c>
      <c r="K16" s="298" t="s">
        <v>912</v>
      </c>
      <c r="L16" s="298" t="s">
        <v>909</v>
      </c>
      <c r="M16" s="299" t="s">
        <v>913</v>
      </c>
    </row>
    <row r="17" spans="2:13" ht="12.75">
      <c r="B17" s="35">
        <v>1992</v>
      </c>
      <c r="C17" s="157">
        <v>57374</v>
      </c>
      <c r="D17" s="297">
        <f t="shared" si="0"/>
        <v>573.74</v>
      </c>
      <c r="E17" s="158">
        <v>744</v>
      </c>
      <c r="F17" s="158">
        <v>522</v>
      </c>
      <c r="G17" s="158">
        <v>222</v>
      </c>
      <c r="H17" s="158">
        <v>90</v>
      </c>
      <c r="I17" s="158">
        <v>312</v>
      </c>
      <c r="J17" s="298" t="s">
        <v>914</v>
      </c>
      <c r="K17" s="298" t="s">
        <v>915</v>
      </c>
      <c r="L17" s="298" t="s">
        <v>895</v>
      </c>
      <c r="M17" s="299" t="s">
        <v>913</v>
      </c>
    </row>
    <row r="18" spans="2:13" ht="12.75">
      <c r="B18" s="35">
        <v>1993</v>
      </c>
      <c r="C18" s="157">
        <v>57654</v>
      </c>
      <c r="D18" s="297">
        <f t="shared" si="0"/>
        <v>576.54</v>
      </c>
      <c r="E18" s="158">
        <v>712</v>
      </c>
      <c r="F18" s="158">
        <v>532</v>
      </c>
      <c r="G18" s="158">
        <v>179</v>
      </c>
      <c r="H18" s="158">
        <v>70</v>
      </c>
      <c r="I18" s="158">
        <v>249</v>
      </c>
      <c r="J18" s="298" t="s">
        <v>916</v>
      </c>
      <c r="K18" s="298" t="s">
        <v>912</v>
      </c>
      <c r="L18" s="298" t="s">
        <v>917</v>
      </c>
      <c r="M18" s="299" t="s">
        <v>918</v>
      </c>
    </row>
    <row r="19" spans="2:13" ht="12.75">
      <c r="B19" s="35">
        <v>1994</v>
      </c>
      <c r="C19" s="157">
        <v>57900</v>
      </c>
      <c r="D19" s="297">
        <f t="shared" si="0"/>
        <v>579</v>
      </c>
      <c r="E19" s="158">
        <v>711</v>
      </c>
      <c r="F19" s="158">
        <v>520</v>
      </c>
      <c r="G19" s="158">
        <v>191</v>
      </c>
      <c r="H19" s="158">
        <v>50</v>
      </c>
      <c r="I19" s="158">
        <v>241</v>
      </c>
      <c r="J19" s="298" t="s">
        <v>916</v>
      </c>
      <c r="K19" s="298" t="s">
        <v>919</v>
      </c>
      <c r="L19" s="298" t="s">
        <v>920</v>
      </c>
      <c r="M19" s="299" t="s">
        <v>900</v>
      </c>
    </row>
    <row r="20" spans="2:13" ht="12.75">
      <c r="B20" s="35">
        <v>1995</v>
      </c>
      <c r="C20" s="157">
        <v>58138</v>
      </c>
      <c r="D20" s="297">
        <f t="shared" si="0"/>
        <v>581.38</v>
      </c>
      <c r="E20" s="158">
        <v>728</v>
      </c>
      <c r="F20" s="158">
        <v>532</v>
      </c>
      <c r="G20" s="158">
        <v>196</v>
      </c>
      <c r="H20" s="158">
        <v>40</v>
      </c>
      <c r="I20" s="158">
        <v>236</v>
      </c>
      <c r="J20" s="298" t="s">
        <v>921</v>
      </c>
      <c r="K20" s="298" t="s">
        <v>912</v>
      </c>
      <c r="L20" s="298" t="s">
        <v>922</v>
      </c>
      <c r="M20" s="299" t="s">
        <v>909</v>
      </c>
    </row>
    <row r="21" spans="2:13" ht="12.75">
      <c r="B21" s="39">
        <v>1996</v>
      </c>
      <c r="C21" s="160">
        <v>58375</v>
      </c>
      <c r="D21" s="300">
        <f t="shared" si="0"/>
        <v>583.75</v>
      </c>
      <c r="E21" s="161">
        <v>734</v>
      </c>
      <c r="F21" s="161">
        <v>536</v>
      </c>
      <c r="G21" s="161">
        <v>198</v>
      </c>
      <c r="H21" s="161">
        <v>40</v>
      </c>
      <c r="I21" s="161">
        <v>238</v>
      </c>
      <c r="J21" s="301" t="s">
        <v>923</v>
      </c>
      <c r="K21" s="301" t="s">
        <v>912</v>
      </c>
      <c r="L21" s="301" t="s">
        <v>922</v>
      </c>
      <c r="M21" s="302" t="s">
        <v>909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4:O6"/>
  <sheetViews>
    <sheetView workbookViewId="0" topLeftCell="A1">
      <selection activeCell="A1" sqref="A1"/>
    </sheetView>
  </sheetViews>
  <sheetFormatPr defaultColWidth="11.7109375" defaultRowHeight="12.75"/>
  <sheetData>
    <row r="4" spans="1:15" ht="12.75">
      <c r="A4" t="s">
        <v>924</v>
      </c>
      <c r="B4">
        <v>1985</v>
      </c>
      <c r="C4">
        <v>1986</v>
      </c>
      <c r="D4">
        <v>1987</v>
      </c>
      <c r="E4">
        <v>1988</v>
      </c>
      <c r="F4">
        <v>1989</v>
      </c>
      <c r="G4">
        <v>1990</v>
      </c>
      <c r="H4">
        <v>1991</v>
      </c>
      <c r="I4">
        <v>1992</v>
      </c>
      <c r="J4">
        <v>1993</v>
      </c>
      <c r="K4">
        <v>1994</v>
      </c>
      <c r="L4">
        <v>1995</v>
      </c>
      <c r="M4">
        <v>1996</v>
      </c>
      <c r="N4">
        <v>1997</v>
      </c>
      <c r="O4">
        <v>1998</v>
      </c>
    </row>
    <row r="5" spans="1:15" ht="12.75">
      <c r="A5" t="s">
        <v>638</v>
      </c>
      <c r="B5">
        <v>518</v>
      </c>
      <c r="C5">
        <v>560</v>
      </c>
      <c r="D5">
        <v>594</v>
      </c>
      <c r="E5">
        <v>596</v>
      </c>
      <c r="F5">
        <v>612</v>
      </c>
      <c r="G5">
        <v>635</v>
      </c>
      <c r="H5">
        <v>647</v>
      </c>
      <c r="I5">
        <v>641</v>
      </c>
      <c r="J5">
        <v>703</v>
      </c>
      <c r="K5">
        <v>740</v>
      </c>
      <c r="L5">
        <v>742</v>
      </c>
      <c r="M5">
        <v>770</v>
      </c>
      <c r="N5">
        <v>795</v>
      </c>
      <c r="O5">
        <v>803</v>
      </c>
    </row>
    <row r="6" spans="1:15" ht="12.75">
      <c r="A6" t="s">
        <v>925</v>
      </c>
      <c r="B6">
        <v>83</v>
      </c>
      <c r="C6">
        <v>85</v>
      </c>
      <c r="D6">
        <v>92</v>
      </c>
      <c r="E6">
        <v>95</v>
      </c>
      <c r="F6">
        <v>102</v>
      </c>
      <c r="G6">
        <v>130</v>
      </c>
      <c r="H6">
        <v>124</v>
      </c>
      <c r="I6">
        <v>151</v>
      </c>
      <c r="J6">
        <v>165</v>
      </c>
      <c r="K6">
        <v>163</v>
      </c>
      <c r="L6">
        <v>149</v>
      </c>
      <c r="M6">
        <v>175</v>
      </c>
      <c r="N6">
        <v>184</v>
      </c>
      <c r="O6">
        <v>215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"/>
    </sheetView>
  </sheetViews>
  <sheetFormatPr defaultColWidth="11.421875" defaultRowHeight="12.75"/>
  <cols>
    <col min="1" max="2" width="11.7109375" style="0" customWidth="1"/>
    <col min="3" max="3" width="14.140625" style="0" customWidth="1"/>
    <col min="4" max="16384" width="11.7109375" style="0" customWidth="1"/>
  </cols>
  <sheetData>
    <row r="1" ht="12.75">
      <c r="B1" s="2"/>
    </row>
    <row r="2" spans="2:4" ht="12.75">
      <c r="B2" s="2"/>
      <c r="C2" s="2" t="s">
        <v>926</v>
      </c>
      <c r="D2" s="3"/>
    </row>
    <row r="3" ht="12.75">
      <c r="B3" s="2"/>
    </row>
    <row r="4" spans="1:5" ht="12.75">
      <c r="A4" s="2"/>
      <c r="B4" s="27"/>
      <c r="C4" s="28" t="s">
        <v>927</v>
      </c>
      <c r="D4" s="29" t="s">
        <v>928</v>
      </c>
      <c r="E4" s="48" t="s">
        <v>929</v>
      </c>
    </row>
    <row r="5" spans="2:5" ht="12.75">
      <c r="B5" s="31" t="s">
        <v>930</v>
      </c>
      <c r="C5" s="32">
        <v>35000</v>
      </c>
      <c r="D5" s="11">
        <v>18000</v>
      </c>
      <c r="E5" s="53">
        <v>21000</v>
      </c>
    </row>
    <row r="6" spans="2:5" ht="12.75">
      <c r="B6" s="35" t="s">
        <v>931</v>
      </c>
      <c r="C6" s="36">
        <v>48000</v>
      </c>
      <c r="D6" s="14">
        <v>0</v>
      </c>
      <c r="E6" s="54">
        <v>16500</v>
      </c>
    </row>
    <row r="7" spans="2:5" ht="12.75">
      <c r="B7" s="35" t="s">
        <v>932</v>
      </c>
      <c r="C7" s="36">
        <v>24000</v>
      </c>
      <c r="D7" s="14">
        <v>20000</v>
      </c>
      <c r="E7" s="54">
        <v>26000</v>
      </c>
    </row>
    <row r="8" spans="2:5" ht="12.75">
      <c r="B8" s="39" t="s">
        <v>933</v>
      </c>
      <c r="C8" s="40">
        <v>0</v>
      </c>
      <c r="D8" s="41">
        <v>16000</v>
      </c>
      <c r="E8" s="56">
        <v>28500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3:I59"/>
  <sheetViews>
    <sheetView workbookViewId="0" topLeftCell="A1">
      <selection activeCell="A1" sqref="A1"/>
    </sheetView>
  </sheetViews>
  <sheetFormatPr defaultColWidth="11.421875" defaultRowHeight="12.75"/>
  <cols>
    <col min="2" max="2" width="15.00390625" style="2" customWidth="1"/>
    <col min="3" max="6" width="11.421875" style="236" customWidth="1"/>
  </cols>
  <sheetData>
    <row r="3" spans="2:6" s="1" customFormat="1" ht="12.75">
      <c r="B3" s="303" t="s">
        <v>934</v>
      </c>
      <c r="C3" s="272"/>
      <c r="D3" s="272"/>
      <c r="E3" s="272"/>
      <c r="F3" s="272"/>
    </row>
    <row r="4" spans="2:6" s="1" customFormat="1" ht="12.75">
      <c r="B4" s="303" t="s">
        <v>935</v>
      </c>
      <c r="C4" s="272"/>
      <c r="D4" s="272"/>
      <c r="E4" s="272"/>
      <c r="F4" s="272"/>
    </row>
    <row r="6" spans="2:6" s="2" customFormat="1" ht="12.75">
      <c r="B6" s="27" t="s">
        <v>936</v>
      </c>
      <c r="C6" s="304" t="s">
        <v>937</v>
      </c>
      <c r="D6" s="305" t="s">
        <v>938</v>
      </c>
      <c r="E6" s="305" t="s">
        <v>939</v>
      </c>
      <c r="F6" s="306" t="s">
        <v>940</v>
      </c>
    </row>
    <row r="7" spans="2:6" ht="12.75">
      <c r="B7" s="31" t="s">
        <v>941</v>
      </c>
      <c r="C7" s="307">
        <v>0.3</v>
      </c>
      <c r="D7" s="308">
        <v>3</v>
      </c>
      <c r="E7" s="308">
        <v>0.25</v>
      </c>
      <c r="F7" s="309">
        <v>4</v>
      </c>
    </row>
    <row r="8" spans="2:6" ht="12.75">
      <c r="B8" s="35" t="s">
        <v>942</v>
      </c>
      <c r="C8" s="310">
        <v>0.5</v>
      </c>
      <c r="D8" s="311">
        <v>4.5</v>
      </c>
      <c r="E8" s="311">
        <v>0.4</v>
      </c>
      <c r="F8" s="312">
        <v>5</v>
      </c>
    </row>
    <row r="9" spans="2:6" ht="12.75">
      <c r="B9" s="35" t="s">
        <v>943</v>
      </c>
      <c r="C9" s="310">
        <v>0.15</v>
      </c>
      <c r="D9" s="311">
        <v>5</v>
      </c>
      <c r="E9" s="311">
        <v>0.2</v>
      </c>
      <c r="F9" s="312">
        <v>7</v>
      </c>
    </row>
    <row r="10" spans="2:6" ht="12.75">
      <c r="B10" s="35" t="s">
        <v>944</v>
      </c>
      <c r="C10" s="310">
        <v>0.2</v>
      </c>
      <c r="D10" s="311">
        <v>40</v>
      </c>
      <c r="E10" s="311">
        <v>0.2</v>
      </c>
      <c r="F10" s="312">
        <v>60</v>
      </c>
    </row>
    <row r="11" spans="2:6" ht="12.75">
      <c r="B11" s="39" t="s">
        <v>945</v>
      </c>
      <c r="C11" s="313">
        <v>0.4</v>
      </c>
      <c r="D11" s="314">
        <v>12</v>
      </c>
      <c r="E11" s="314">
        <v>0.3</v>
      </c>
      <c r="F11" s="315">
        <v>15</v>
      </c>
    </row>
    <row r="13" ht="12.75">
      <c r="B13" s="316" t="s">
        <v>946</v>
      </c>
    </row>
    <row r="16" ht="12.75">
      <c r="B16" s="303" t="s">
        <v>947</v>
      </c>
    </row>
    <row r="18" spans="2:9" s="317" customFormat="1" ht="12.75">
      <c r="B18" s="318" t="s">
        <v>873</v>
      </c>
      <c r="C18" s="319">
        <v>2000</v>
      </c>
      <c r="D18" s="320">
        <v>2001</v>
      </c>
      <c r="E18" s="320">
        <v>2002</v>
      </c>
      <c r="F18" s="320">
        <v>2003</v>
      </c>
      <c r="G18" s="320">
        <v>2004</v>
      </c>
      <c r="H18" s="320">
        <v>2005</v>
      </c>
      <c r="I18" s="321">
        <v>2006</v>
      </c>
    </row>
    <row r="19" spans="2:9" s="322" customFormat="1" ht="12.75">
      <c r="B19" s="323" t="s">
        <v>948</v>
      </c>
      <c r="C19" s="324">
        <v>1800</v>
      </c>
      <c r="D19" s="325">
        <v>1850</v>
      </c>
      <c r="E19" s="325">
        <v>1930</v>
      </c>
      <c r="F19" s="325">
        <v>2040</v>
      </c>
      <c r="G19" s="325">
        <v>2500</v>
      </c>
      <c r="H19" s="325">
        <v>2450</v>
      </c>
      <c r="I19" s="326">
        <v>2380</v>
      </c>
    </row>
    <row r="20" spans="2:9" ht="12.75">
      <c r="B20" s="39" t="s">
        <v>949</v>
      </c>
      <c r="C20" s="313">
        <v>102.1</v>
      </c>
      <c r="D20" s="314">
        <v>104.2</v>
      </c>
      <c r="E20" s="314">
        <v>105.9</v>
      </c>
      <c r="F20" s="314">
        <v>107.9</v>
      </c>
      <c r="G20" s="314">
        <v>110.4</v>
      </c>
      <c r="H20" s="314">
        <v>112.3</v>
      </c>
      <c r="I20" s="315">
        <v>114.5</v>
      </c>
    </row>
    <row r="22" ht="12.75">
      <c r="B22" s="303" t="s">
        <v>950</v>
      </c>
    </row>
    <row r="25" ht="12.75">
      <c r="B25" s="303" t="s">
        <v>951</v>
      </c>
    </row>
    <row r="27" spans="2:6" s="2" customFormat="1" ht="12.75">
      <c r="B27" s="27" t="s">
        <v>936</v>
      </c>
      <c r="C27" s="304" t="s">
        <v>937</v>
      </c>
      <c r="D27" s="305" t="s">
        <v>938</v>
      </c>
      <c r="E27" s="305" t="s">
        <v>939</v>
      </c>
      <c r="F27" s="306" t="s">
        <v>940</v>
      </c>
    </row>
    <row r="28" spans="2:6" ht="12.75">
      <c r="B28" s="31" t="s">
        <v>952</v>
      </c>
      <c r="C28" s="324">
        <v>10</v>
      </c>
      <c r="D28" s="308">
        <v>1</v>
      </c>
      <c r="E28" s="325">
        <v>10</v>
      </c>
      <c r="F28" s="309">
        <v>1.2</v>
      </c>
    </row>
    <row r="29" spans="2:6" ht="12.75">
      <c r="B29" s="35" t="s">
        <v>953</v>
      </c>
      <c r="C29" s="327">
        <v>7</v>
      </c>
      <c r="D29" s="311">
        <v>2</v>
      </c>
      <c r="E29" s="328">
        <v>8</v>
      </c>
      <c r="F29" s="312">
        <v>2.3</v>
      </c>
    </row>
    <row r="30" spans="2:6" ht="12.75">
      <c r="B30" s="35" t="s">
        <v>954</v>
      </c>
      <c r="C30" s="327">
        <v>10</v>
      </c>
      <c r="D30" s="311">
        <v>1.5</v>
      </c>
      <c r="E30" s="328">
        <v>7</v>
      </c>
      <c r="F30" s="312">
        <v>1.6</v>
      </c>
    </row>
    <row r="31" spans="2:6" ht="12.75">
      <c r="B31" s="35" t="s">
        <v>955</v>
      </c>
      <c r="C31" s="327">
        <v>4</v>
      </c>
      <c r="D31" s="311">
        <v>2</v>
      </c>
      <c r="E31" s="328">
        <v>5</v>
      </c>
      <c r="F31" s="312">
        <v>2.4</v>
      </c>
    </row>
    <row r="32" spans="2:6" ht="12.75">
      <c r="B32" s="39" t="s">
        <v>956</v>
      </c>
      <c r="C32" s="329">
        <v>3</v>
      </c>
      <c r="D32" s="314">
        <v>3</v>
      </c>
      <c r="E32" s="330">
        <v>5</v>
      </c>
      <c r="F32" s="315">
        <v>4</v>
      </c>
    </row>
    <row r="34" ht="12.75">
      <c r="B34" s="316" t="s">
        <v>957</v>
      </c>
    </row>
    <row r="37" ht="12.75">
      <c r="B37" s="303" t="s">
        <v>958</v>
      </c>
    </row>
    <row r="39" spans="2:6" s="317" customFormat="1" ht="12.75">
      <c r="B39" s="318" t="s">
        <v>873</v>
      </c>
      <c r="C39" s="319">
        <v>1982</v>
      </c>
      <c r="D39" s="320">
        <v>1983</v>
      </c>
      <c r="E39" s="320">
        <v>1984</v>
      </c>
      <c r="F39" s="321">
        <v>1985</v>
      </c>
    </row>
    <row r="40" spans="2:6" ht="12.75">
      <c r="B40" s="31" t="s">
        <v>959</v>
      </c>
      <c r="C40" s="307">
        <v>6</v>
      </c>
      <c r="D40" s="308">
        <v>3.1</v>
      </c>
      <c r="E40" s="308">
        <v>3.4</v>
      </c>
      <c r="F40" s="309">
        <v>3.5</v>
      </c>
    </row>
    <row r="41" spans="2:6" ht="12.75">
      <c r="B41" s="39" t="s">
        <v>960</v>
      </c>
      <c r="C41" s="313">
        <v>2.7</v>
      </c>
      <c r="D41" s="314">
        <v>1.9</v>
      </c>
      <c r="E41" s="314">
        <v>2.2</v>
      </c>
      <c r="F41" s="315">
        <v>2.1</v>
      </c>
    </row>
    <row r="44" ht="12.75">
      <c r="B44" s="303" t="s">
        <v>961</v>
      </c>
    </row>
    <row r="45" ht="12.75">
      <c r="B45" s="303"/>
    </row>
    <row r="46" spans="2:9" s="317" customFormat="1" ht="12.75">
      <c r="B46" s="318" t="s">
        <v>873</v>
      </c>
      <c r="C46" s="331">
        <v>2000</v>
      </c>
      <c r="D46" s="320">
        <v>2001</v>
      </c>
      <c r="E46" s="320">
        <v>2002</v>
      </c>
      <c r="F46" s="320">
        <v>2003</v>
      </c>
      <c r="G46" s="320">
        <v>2004</v>
      </c>
      <c r="H46" s="320">
        <v>2005</v>
      </c>
      <c r="I46" s="321">
        <v>2006</v>
      </c>
    </row>
    <row r="47" spans="2:9" s="332" customFormat="1" ht="12.75">
      <c r="B47" s="333" t="s">
        <v>962</v>
      </c>
      <c r="C47" s="334">
        <v>58961</v>
      </c>
      <c r="D47" s="335">
        <v>59352</v>
      </c>
      <c r="E47" s="335">
        <v>59726</v>
      </c>
      <c r="F47" s="335">
        <v>60119</v>
      </c>
      <c r="G47" s="335">
        <v>60468</v>
      </c>
      <c r="H47" s="335">
        <v>60818</v>
      </c>
      <c r="I47" s="336">
        <v>61182</v>
      </c>
    </row>
    <row r="49" spans="2:6" ht="12.75">
      <c r="B49"/>
      <c r="C49"/>
      <c r="D49"/>
      <c r="E49"/>
      <c r="F49"/>
    </row>
    <row r="50" s="337" customFormat="1" ht="14.25">
      <c r="B50" s="337" t="s">
        <v>963</v>
      </c>
    </row>
    <row r="51" spans="2:6" ht="12.75">
      <c r="B51"/>
      <c r="C51"/>
      <c r="D51"/>
      <c r="E51"/>
      <c r="F51"/>
    </row>
    <row r="52" spans="2:7" s="1" customFormat="1" ht="12.75">
      <c r="B52" s="27" t="s">
        <v>873</v>
      </c>
      <c r="C52" s="28">
        <v>1982</v>
      </c>
      <c r="D52" s="29">
        <v>1983</v>
      </c>
      <c r="E52" s="29">
        <v>1984</v>
      </c>
      <c r="F52" s="29">
        <v>1985</v>
      </c>
      <c r="G52" s="48">
        <v>1986</v>
      </c>
    </row>
    <row r="53" spans="2:7" s="625" customFormat="1" ht="12.75">
      <c r="B53" s="60" t="s">
        <v>964</v>
      </c>
      <c r="C53" s="626">
        <v>11.8</v>
      </c>
      <c r="D53" s="627">
        <v>9.6</v>
      </c>
      <c r="E53" s="627">
        <v>7.4</v>
      </c>
      <c r="F53" s="627">
        <v>5.8</v>
      </c>
      <c r="G53" s="628">
        <v>2.1</v>
      </c>
    </row>
    <row r="54" spans="2:6" ht="12.75">
      <c r="B54"/>
      <c r="C54"/>
      <c r="D54"/>
      <c r="E54"/>
      <c r="F54"/>
    </row>
    <row r="55" spans="2:6" ht="12.75">
      <c r="B55" t="s">
        <v>421</v>
      </c>
      <c r="C55"/>
      <c r="D55"/>
      <c r="E55"/>
      <c r="F55"/>
    </row>
    <row r="56" spans="2:6" ht="12.75">
      <c r="B56" t="s">
        <v>965</v>
      </c>
      <c r="C56"/>
      <c r="D56"/>
      <c r="E56"/>
      <c r="F56"/>
    </row>
    <row r="57" spans="2:6" ht="12.75">
      <c r="B57" t="s">
        <v>966</v>
      </c>
      <c r="C57"/>
      <c r="D57"/>
      <c r="E57"/>
      <c r="F57"/>
    </row>
    <row r="58" spans="2:6" ht="12.75">
      <c r="B58" t="s">
        <v>967</v>
      </c>
      <c r="C58"/>
      <c r="D58"/>
      <c r="E58"/>
      <c r="F58"/>
    </row>
    <row r="59" spans="2:6" ht="12.75">
      <c r="B59"/>
      <c r="C59"/>
      <c r="D59"/>
      <c r="E59"/>
      <c r="F59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A1" sqref="A1"/>
    </sheetView>
  </sheetViews>
  <sheetFormatPr defaultColWidth="11.421875" defaultRowHeight="12.75"/>
  <cols>
    <col min="2" max="2" width="1.421875" style="0" customWidth="1"/>
    <col min="3" max="3" width="3.7109375" style="0" customWidth="1"/>
    <col min="4" max="4" width="1.57421875" style="0" customWidth="1"/>
    <col min="5" max="5" width="3.8515625" style="0" customWidth="1"/>
    <col min="6" max="6" width="1.57421875" style="0" customWidth="1"/>
    <col min="7" max="7" width="10.28125" style="3" customWidth="1"/>
    <col min="9" max="9" width="8.421875" style="3" customWidth="1"/>
    <col min="10" max="10" width="2.7109375" style="3" customWidth="1"/>
    <col min="11" max="11" width="4.28125" style="3" customWidth="1"/>
    <col min="12" max="12" width="4.421875" style="3" customWidth="1"/>
    <col min="13" max="13" width="9.57421875" style="3" customWidth="1"/>
    <col min="14" max="14" width="11.421875" style="3" customWidth="1"/>
  </cols>
  <sheetData>
    <row r="1" ht="12.75">
      <c r="I1" s="338"/>
    </row>
    <row r="2" spans="2:14" s="1" customFormat="1" ht="12.75">
      <c r="B2" s="1" t="s">
        <v>968</v>
      </c>
      <c r="G2" s="2"/>
      <c r="I2" s="303" t="s">
        <v>969</v>
      </c>
      <c r="J2" s="2"/>
      <c r="K2" s="2"/>
      <c r="L2" s="2"/>
      <c r="M2" s="2"/>
      <c r="N2" s="2"/>
    </row>
    <row r="3" ht="12.75">
      <c r="I3" s="338"/>
    </row>
    <row r="4" spans="2:14" s="1" customFormat="1" ht="12.75">
      <c r="B4" s="339" t="s">
        <v>970</v>
      </c>
      <c r="C4" s="264"/>
      <c r="D4" s="340"/>
      <c r="E4" s="340"/>
      <c r="F4" s="341"/>
      <c r="G4" s="49" t="s">
        <v>971</v>
      </c>
      <c r="I4" s="342" t="s">
        <v>972</v>
      </c>
      <c r="J4" s="264"/>
      <c r="K4" s="264"/>
      <c r="L4" s="264"/>
      <c r="M4" s="265"/>
      <c r="N4" s="49" t="s">
        <v>971</v>
      </c>
    </row>
    <row r="5" spans="2:14" ht="12.75">
      <c r="B5" s="343"/>
      <c r="C5" s="14"/>
      <c r="D5" s="14"/>
      <c r="E5" s="14"/>
      <c r="F5" s="54"/>
      <c r="G5" s="55"/>
      <c r="I5" s="344"/>
      <c r="J5" s="158"/>
      <c r="K5" s="158"/>
      <c r="L5" s="158"/>
      <c r="M5" s="159"/>
      <c r="N5" s="55"/>
    </row>
    <row r="6" spans="2:14" ht="12.75">
      <c r="B6" s="343" t="s">
        <v>973</v>
      </c>
      <c r="C6" s="14">
        <v>0</v>
      </c>
      <c r="D6" s="14" t="s">
        <v>974</v>
      </c>
      <c r="E6" s="14">
        <v>20</v>
      </c>
      <c r="F6" s="54" t="s">
        <v>973</v>
      </c>
      <c r="G6" s="55">
        <v>10</v>
      </c>
      <c r="I6" s="344">
        <v>0</v>
      </c>
      <c r="J6" s="158" t="s">
        <v>975</v>
      </c>
      <c r="K6" s="158" t="s">
        <v>976</v>
      </c>
      <c r="L6" s="158" t="s">
        <v>977</v>
      </c>
      <c r="M6" s="159">
        <v>500</v>
      </c>
      <c r="N6" s="55">
        <v>20</v>
      </c>
    </row>
    <row r="7" spans="2:14" ht="12.75">
      <c r="B7" s="343" t="s">
        <v>973</v>
      </c>
      <c r="C7" s="14">
        <v>20</v>
      </c>
      <c r="D7" s="14" t="s">
        <v>974</v>
      </c>
      <c r="E7" s="14">
        <v>40</v>
      </c>
      <c r="F7" s="54" t="s">
        <v>973</v>
      </c>
      <c r="G7" s="55">
        <v>25</v>
      </c>
      <c r="I7" s="344">
        <v>500</v>
      </c>
      <c r="J7" s="158" t="s">
        <v>975</v>
      </c>
      <c r="K7" s="158" t="s">
        <v>976</v>
      </c>
      <c r="L7" s="158" t="s">
        <v>977</v>
      </c>
      <c r="M7" s="159">
        <v>1000</v>
      </c>
      <c r="N7" s="55">
        <v>100</v>
      </c>
    </row>
    <row r="8" spans="2:14" ht="12.75">
      <c r="B8" s="343" t="s">
        <v>973</v>
      </c>
      <c r="C8" s="14">
        <v>40</v>
      </c>
      <c r="D8" s="14" t="s">
        <v>974</v>
      </c>
      <c r="E8" s="14">
        <v>60</v>
      </c>
      <c r="F8" s="54" t="s">
        <v>973</v>
      </c>
      <c r="G8" s="55">
        <v>15</v>
      </c>
      <c r="I8" s="344">
        <v>1000</v>
      </c>
      <c r="J8" s="158" t="s">
        <v>975</v>
      </c>
      <c r="K8" s="158" t="s">
        <v>976</v>
      </c>
      <c r="L8" s="158" t="s">
        <v>977</v>
      </c>
      <c r="M8" s="159">
        <v>1500</v>
      </c>
      <c r="N8" s="55">
        <v>250</v>
      </c>
    </row>
    <row r="9" spans="2:14" ht="12.75">
      <c r="B9" s="343" t="s">
        <v>973</v>
      </c>
      <c r="C9" s="14">
        <v>60</v>
      </c>
      <c r="D9" s="14" t="s">
        <v>974</v>
      </c>
      <c r="E9" s="14">
        <v>80</v>
      </c>
      <c r="F9" s="54" t="s">
        <v>973</v>
      </c>
      <c r="G9" s="55">
        <v>10</v>
      </c>
      <c r="I9" s="344">
        <v>1500</v>
      </c>
      <c r="J9" s="158" t="s">
        <v>975</v>
      </c>
      <c r="K9" s="158" t="s">
        <v>976</v>
      </c>
      <c r="L9" s="158" t="s">
        <v>977</v>
      </c>
      <c r="M9" s="159">
        <v>2000</v>
      </c>
      <c r="N9" s="55">
        <v>150</v>
      </c>
    </row>
    <row r="10" spans="2:14" ht="12.75">
      <c r="B10" s="343" t="s">
        <v>973</v>
      </c>
      <c r="C10" s="14">
        <v>80</v>
      </c>
      <c r="D10" s="14" t="s">
        <v>974</v>
      </c>
      <c r="E10" s="14">
        <v>100</v>
      </c>
      <c r="F10" s="54" t="s">
        <v>973</v>
      </c>
      <c r="G10" s="55">
        <v>5</v>
      </c>
      <c r="I10" s="344">
        <v>2000</v>
      </c>
      <c r="J10" s="158" t="s">
        <v>975</v>
      </c>
      <c r="K10" s="158" t="s">
        <v>976</v>
      </c>
      <c r="L10" s="158" t="s">
        <v>977</v>
      </c>
      <c r="M10" s="159">
        <v>3000</v>
      </c>
      <c r="N10" s="55">
        <v>50</v>
      </c>
    </row>
    <row r="11" spans="2:14" ht="12.75">
      <c r="B11" s="343"/>
      <c r="C11" s="14"/>
      <c r="D11" s="14"/>
      <c r="E11" s="14"/>
      <c r="F11" s="54"/>
      <c r="G11" s="55"/>
      <c r="I11" s="344">
        <v>3000</v>
      </c>
      <c r="J11" s="158" t="s">
        <v>975</v>
      </c>
      <c r="K11" s="158" t="s">
        <v>976</v>
      </c>
      <c r="L11" s="158" t="s">
        <v>977</v>
      </c>
      <c r="M11" s="159">
        <v>5000</v>
      </c>
      <c r="N11" s="55">
        <v>10</v>
      </c>
    </row>
    <row r="12" spans="1:14" s="337" customFormat="1" ht="12.75">
      <c r="A12" s="1"/>
      <c r="B12" s="345" t="s">
        <v>633</v>
      </c>
      <c r="C12" s="346"/>
      <c r="D12" s="346"/>
      <c r="E12" s="346"/>
      <c r="F12" s="347"/>
      <c r="G12" s="39"/>
      <c r="I12" s="348">
        <v>5000</v>
      </c>
      <c r="J12" s="158" t="s">
        <v>975</v>
      </c>
      <c r="K12" s="158" t="s">
        <v>976</v>
      </c>
      <c r="L12" s="158" t="s">
        <v>977</v>
      </c>
      <c r="M12" s="349">
        <v>10000</v>
      </c>
      <c r="N12" s="350">
        <v>2</v>
      </c>
    </row>
    <row r="13" spans="9:14" ht="12.75">
      <c r="I13" s="344"/>
      <c r="J13" s="158"/>
      <c r="K13" s="158"/>
      <c r="L13" s="158"/>
      <c r="M13" s="159"/>
      <c r="N13" s="55"/>
    </row>
    <row r="14" spans="9:14" ht="12.75">
      <c r="I14" s="351" t="s">
        <v>633</v>
      </c>
      <c r="J14" s="352"/>
      <c r="K14" s="352"/>
      <c r="L14" s="352"/>
      <c r="M14" s="353"/>
      <c r="N14" s="73"/>
    </row>
    <row r="17" ht="12.75">
      <c r="B17" t="s">
        <v>978</v>
      </c>
    </row>
    <row r="18" ht="12.75">
      <c r="B18" t="s">
        <v>979</v>
      </c>
    </row>
    <row r="19" ht="12.75">
      <c r="B19" t="s">
        <v>980</v>
      </c>
    </row>
    <row r="21" ht="12.75">
      <c r="B21" t="s">
        <v>981</v>
      </c>
    </row>
    <row r="22" ht="12.75">
      <c r="B22" t="s">
        <v>982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W17"/>
  <sheetViews>
    <sheetView workbookViewId="0" topLeftCell="A1">
      <selection activeCell="A1" sqref="A1"/>
    </sheetView>
  </sheetViews>
  <sheetFormatPr defaultColWidth="11.421875" defaultRowHeight="12.75"/>
  <cols>
    <col min="2" max="2" width="1.421875" style="0" customWidth="1"/>
    <col min="3" max="3" width="3.7109375" style="0" customWidth="1"/>
    <col min="4" max="4" width="1.57421875" style="0" customWidth="1"/>
    <col min="5" max="5" width="3.8515625" style="0" customWidth="1"/>
    <col min="6" max="6" width="1.57421875" style="0" customWidth="1"/>
    <col min="7" max="7" width="10.8515625" style="0" customWidth="1"/>
    <col min="11" max="11" width="9.00390625" style="0" customWidth="1"/>
    <col min="12" max="12" width="4.140625" style="0" customWidth="1"/>
    <col min="13" max="13" width="2.7109375" style="0" customWidth="1"/>
    <col min="14" max="14" width="4.28125" style="0" customWidth="1"/>
    <col min="15" max="15" width="8.421875" style="0" customWidth="1"/>
    <col min="16" max="16" width="9.57421875" style="0" customWidth="1"/>
  </cols>
  <sheetData>
    <row r="1" spans="8:22" ht="12.75">
      <c r="H1" s="3"/>
      <c r="I1" s="3"/>
      <c r="J1" s="3"/>
      <c r="L1" s="338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3" ht="12.75">
      <c r="A2" s="1"/>
      <c r="B2" s="1" t="s">
        <v>968</v>
      </c>
      <c r="C2" s="1"/>
      <c r="D2" s="1"/>
      <c r="E2" s="1"/>
      <c r="F2" s="1"/>
      <c r="G2" s="1"/>
      <c r="H2" s="2"/>
      <c r="I2" s="2"/>
      <c r="J2" s="2"/>
      <c r="K2" s="1"/>
      <c r="L2" s="303" t="s">
        <v>969</v>
      </c>
      <c r="M2" s="2"/>
      <c r="N2" s="2"/>
      <c r="O2" s="2"/>
      <c r="P2" s="2"/>
      <c r="Q2" s="2"/>
      <c r="R2" s="2"/>
      <c r="S2" s="2"/>
      <c r="T2" s="2"/>
      <c r="U2" s="2"/>
      <c r="V2" s="2"/>
      <c r="W2" s="1"/>
    </row>
    <row r="3" spans="8:22" ht="12.75">
      <c r="H3" s="3"/>
      <c r="I3" s="3"/>
      <c r="J3" s="3"/>
      <c r="L3" s="338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2.75">
      <c r="A4" s="1"/>
      <c r="B4" s="339" t="s">
        <v>970</v>
      </c>
      <c r="C4" s="340"/>
      <c r="D4" s="340"/>
      <c r="E4" s="340"/>
      <c r="F4" s="341"/>
      <c r="G4" s="263" t="s">
        <v>971</v>
      </c>
      <c r="H4" s="354" t="s">
        <v>983</v>
      </c>
      <c r="I4" s="265" t="s">
        <v>984</v>
      </c>
      <c r="J4" s="1"/>
      <c r="K4" s="355" t="s">
        <v>972</v>
      </c>
      <c r="L4" s="264"/>
      <c r="M4" s="264"/>
      <c r="N4" s="264"/>
      <c r="O4" s="265"/>
      <c r="P4" s="263" t="s">
        <v>971</v>
      </c>
      <c r="Q4" s="264" t="s">
        <v>983</v>
      </c>
      <c r="R4" s="264" t="s">
        <v>984</v>
      </c>
      <c r="S4" s="356" t="s">
        <v>985</v>
      </c>
      <c r="T4" s="356" t="s">
        <v>986</v>
      </c>
      <c r="U4" s="265" t="s">
        <v>987</v>
      </c>
      <c r="V4" s="1"/>
    </row>
    <row r="5" spans="2:21" ht="12.75">
      <c r="B5" s="343"/>
      <c r="C5" s="14"/>
      <c r="D5" s="14"/>
      <c r="E5" s="14">
        <v>0</v>
      </c>
      <c r="F5" s="54"/>
      <c r="G5" s="157"/>
      <c r="H5" s="357"/>
      <c r="I5" s="159">
        <v>0</v>
      </c>
      <c r="K5" s="344"/>
      <c r="L5" s="158"/>
      <c r="M5" s="158"/>
      <c r="N5" s="158"/>
      <c r="O5" s="159">
        <v>0</v>
      </c>
      <c r="P5" s="157"/>
      <c r="Q5" s="158"/>
      <c r="R5" s="158">
        <v>0</v>
      </c>
      <c r="S5" s="358"/>
      <c r="T5" s="358"/>
      <c r="U5" s="159"/>
    </row>
    <row r="6" spans="2:21" ht="12.75">
      <c r="B6" s="343" t="s">
        <v>973</v>
      </c>
      <c r="C6" s="14">
        <v>0</v>
      </c>
      <c r="D6" s="14" t="s">
        <v>974</v>
      </c>
      <c r="E6" s="14">
        <v>20</v>
      </c>
      <c r="F6" s="54" t="s">
        <v>973</v>
      </c>
      <c r="G6" s="157">
        <v>10</v>
      </c>
      <c r="H6" s="357">
        <f>G6/$G$12</f>
        <v>0.15384615384615385</v>
      </c>
      <c r="I6" s="359">
        <f>H6</f>
        <v>0.15384615384615385</v>
      </c>
      <c r="K6" s="344">
        <v>0</v>
      </c>
      <c r="L6" s="158" t="s">
        <v>975</v>
      </c>
      <c r="M6" s="158" t="s">
        <v>976</v>
      </c>
      <c r="N6" s="158" t="s">
        <v>977</v>
      </c>
      <c r="O6" s="159">
        <v>500</v>
      </c>
      <c r="P6" s="157">
        <v>20</v>
      </c>
      <c r="Q6" s="360">
        <f aca="true" t="shared" si="0" ref="Q6:Q12">P6/Ntot</f>
        <v>0.03436426116838488</v>
      </c>
      <c r="R6" s="360">
        <f>Q6</f>
        <v>0.03436426116838488</v>
      </c>
      <c r="S6" s="358">
        <f aca="true" t="shared" si="1" ref="S6:S12">O6-K6</f>
        <v>500</v>
      </c>
      <c r="T6" s="358">
        <f aca="true" t="shared" si="2" ref="T6:T12">(K6+O6)/2</f>
        <v>250</v>
      </c>
      <c r="U6" s="361">
        <f aca="true" t="shared" si="3" ref="U6:U12">Q6*500/S6</f>
        <v>0.03436426116838488</v>
      </c>
    </row>
    <row r="7" spans="2:21" ht="12.75">
      <c r="B7" s="343" t="s">
        <v>973</v>
      </c>
      <c r="C7" s="14">
        <v>20</v>
      </c>
      <c r="D7" s="14" t="s">
        <v>974</v>
      </c>
      <c r="E7" s="14">
        <v>40</v>
      </c>
      <c r="F7" s="54" t="s">
        <v>973</v>
      </c>
      <c r="G7" s="157">
        <v>25</v>
      </c>
      <c r="H7" s="357">
        <f>G7/$G$12</f>
        <v>0.38461538461538464</v>
      </c>
      <c r="I7" s="359">
        <f>I6+H7</f>
        <v>0.5384615384615385</v>
      </c>
      <c r="K7" s="344">
        <v>500</v>
      </c>
      <c r="L7" s="158" t="s">
        <v>975</v>
      </c>
      <c r="M7" s="158" t="s">
        <v>976</v>
      </c>
      <c r="N7" s="158" t="s">
        <v>977</v>
      </c>
      <c r="O7" s="159">
        <v>1000</v>
      </c>
      <c r="P7" s="157">
        <v>100</v>
      </c>
      <c r="Q7" s="360">
        <f t="shared" si="0"/>
        <v>0.1718213058419244</v>
      </c>
      <c r="R7" s="360">
        <f aca="true" t="shared" si="4" ref="R7:R12">R6+Q7</f>
        <v>0.20618556701030927</v>
      </c>
      <c r="S7" s="358">
        <f t="shared" si="1"/>
        <v>500</v>
      </c>
      <c r="T7" s="358">
        <f t="shared" si="2"/>
        <v>750</v>
      </c>
      <c r="U7" s="361">
        <f t="shared" si="3"/>
        <v>0.1718213058419244</v>
      </c>
    </row>
    <row r="8" spans="2:21" ht="12.75">
      <c r="B8" s="343" t="s">
        <v>973</v>
      </c>
      <c r="C8" s="14">
        <v>40</v>
      </c>
      <c r="D8" s="14" t="s">
        <v>974</v>
      </c>
      <c r="E8" s="14">
        <v>60</v>
      </c>
      <c r="F8" s="54" t="s">
        <v>973</v>
      </c>
      <c r="G8" s="157">
        <v>15</v>
      </c>
      <c r="H8" s="357">
        <f>G8/$G$12</f>
        <v>0.23076923076923078</v>
      </c>
      <c r="I8" s="359">
        <f>I7+H8</f>
        <v>0.7692307692307694</v>
      </c>
      <c r="K8" s="344">
        <v>1000</v>
      </c>
      <c r="L8" s="158" t="s">
        <v>975</v>
      </c>
      <c r="M8" s="158" t="s">
        <v>976</v>
      </c>
      <c r="N8" s="158" t="s">
        <v>977</v>
      </c>
      <c r="O8" s="159">
        <v>1500</v>
      </c>
      <c r="P8" s="157">
        <v>250</v>
      </c>
      <c r="Q8" s="360">
        <f t="shared" si="0"/>
        <v>0.42955326460481097</v>
      </c>
      <c r="R8" s="360">
        <f t="shared" si="4"/>
        <v>0.6357388316151202</v>
      </c>
      <c r="S8" s="358">
        <f t="shared" si="1"/>
        <v>500</v>
      </c>
      <c r="T8" s="358">
        <f t="shared" si="2"/>
        <v>1250</v>
      </c>
      <c r="U8" s="361">
        <f t="shared" si="3"/>
        <v>0.42955326460481097</v>
      </c>
    </row>
    <row r="9" spans="2:21" ht="12.75">
      <c r="B9" s="343" t="s">
        <v>973</v>
      </c>
      <c r="C9" s="14">
        <v>60</v>
      </c>
      <c r="D9" s="14" t="s">
        <v>974</v>
      </c>
      <c r="E9" s="14">
        <v>80</v>
      </c>
      <c r="F9" s="54" t="s">
        <v>973</v>
      </c>
      <c r="G9" s="157">
        <v>10</v>
      </c>
      <c r="H9" s="357">
        <f>G9/$G$12</f>
        <v>0.15384615384615385</v>
      </c>
      <c r="I9" s="359">
        <f>I8+H9</f>
        <v>0.9230769230769232</v>
      </c>
      <c r="K9" s="344">
        <v>1500</v>
      </c>
      <c r="L9" s="158" t="s">
        <v>975</v>
      </c>
      <c r="M9" s="158" t="s">
        <v>976</v>
      </c>
      <c r="N9" s="158" t="s">
        <v>977</v>
      </c>
      <c r="O9" s="159">
        <v>2000</v>
      </c>
      <c r="P9" s="157">
        <v>150</v>
      </c>
      <c r="Q9" s="360">
        <f t="shared" si="0"/>
        <v>0.25773195876288657</v>
      </c>
      <c r="R9" s="360">
        <f t="shared" si="4"/>
        <v>0.8934707903780068</v>
      </c>
      <c r="S9" s="358">
        <f t="shared" si="1"/>
        <v>500</v>
      </c>
      <c r="T9" s="358">
        <f t="shared" si="2"/>
        <v>1750</v>
      </c>
      <c r="U9" s="361">
        <f t="shared" si="3"/>
        <v>0.25773195876288657</v>
      </c>
    </row>
    <row r="10" spans="2:21" ht="12.75">
      <c r="B10" s="343" t="s">
        <v>973</v>
      </c>
      <c r="C10" s="14">
        <v>80</v>
      </c>
      <c r="D10" s="14" t="s">
        <v>974</v>
      </c>
      <c r="E10" s="14">
        <v>100</v>
      </c>
      <c r="F10" s="54" t="s">
        <v>973</v>
      </c>
      <c r="G10" s="157">
        <v>5</v>
      </c>
      <c r="H10" s="357">
        <f>G10/$G$12</f>
        <v>0.07692307692307693</v>
      </c>
      <c r="I10" s="359">
        <f>I9+H10</f>
        <v>1.0000000000000002</v>
      </c>
      <c r="K10" s="344">
        <v>2000</v>
      </c>
      <c r="L10" s="158" t="s">
        <v>975</v>
      </c>
      <c r="M10" s="158" t="s">
        <v>976</v>
      </c>
      <c r="N10" s="158" t="s">
        <v>977</v>
      </c>
      <c r="O10" s="159">
        <v>3000</v>
      </c>
      <c r="P10" s="157">
        <v>50</v>
      </c>
      <c r="Q10" s="360">
        <f t="shared" si="0"/>
        <v>0.0859106529209622</v>
      </c>
      <c r="R10" s="360">
        <f t="shared" si="4"/>
        <v>0.979381443298969</v>
      </c>
      <c r="S10" s="358">
        <f t="shared" si="1"/>
        <v>1000</v>
      </c>
      <c r="T10" s="358">
        <f t="shared" si="2"/>
        <v>2500</v>
      </c>
      <c r="U10" s="361">
        <f t="shared" si="3"/>
        <v>0.0429553264604811</v>
      </c>
    </row>
    <row r="11" spans="2:21" ht="12.75">
      <c r="B11" s="343"/>
      <c r="C11" s="14"/>
      <c r="D11" s="14"/>
      <c r="E11" s="14"/>
      <c r="F11" s="54"/>
      <c r="G11" s="157"/>
      <c r="H11" s="357"/>
      <c r="I11" s="159"/>
      <c r="K11" s="344">
        <v>3000</v>
      </c>
      <c r="L11" s="158" t="s">
        <v>975</v>
      </c>
      <c r="M11" s="158" t="s">
        <v>976</v>
      </c>
      <c r="N11" s="158" t="s">
        <v>977</v>
      </c>
      <c r="O11" s="159">
        <v>5000</v>
      </c>
      <c r="P11" s="157">
        <v>10</v>
      </c>
      <c r="Q11" s="360">
        <f t="shared" si="0"/>
        <v>0.01718213058419244</v>
      </c>
      <c r="R11" s="360">
        <f t="shared" si="4"/>
        <v>0.9965635738831615</v>
      </c>
      <c r="S11" s="358">
        <f t="shared" si="1"/>
        <v>2000</v>
      </c>
      <c r="T11" s="358">
        <f t="shared" si="2"/>
        <v>4000</v>
      </c>
      <c r="U11" s="361">
        <f t="shared" si="3"/>
        <v>0.00429553264604811</v>
      </c>
    </row>
    <row r="12" spans="1:22" ht="12.75">
      <c r="A12" s="1"/>
      <c r="B12" s="345" t="s">
        <v>633</v>
      </c>
      <c r="C12" s="346"/>
      <c r="D12" s="346"/>
      <c r="E12" s="346"/>
      <c r="F12" s="347"/>
      <c r="G12" s="362">
        <f>SUM(G6:G10)</f>
        <v>65</v>
      </c>
      <c r="H12" s="363">
        <f>SUM(H6:H10)</f>
        <v>1.0000000000000002</v>
      </c>
      <c r="I12" s="353"/>
      <c r="J12" s="337"/>
      <c r="K12" s="348">
        <v>5000</v>
      </c>
      <c r="L12" s="158" t="s">
        <v>975</v>
      </c>
      <c r="M12" s="158" t="s">
        <v>976</v>
      </c>
      <c r="N12" s="158" t="s">
        <v>977</v>
      </c>
      <c r="O12" s="349">
        <v>10000</v>
      </c>
      <c r="P12" s="364">
        <v>2</v>
      </c>
      <c r="Q12" s="360">
        <f t="shared" si="0"/>
        <v>0.003436426116838488</v>
      </c>
      <c r="R12" s="360">
        <f t="shared" si="4"/>
        <v>1</v>
      </c>
      <c r="S12" s="358">
        <f t="shared" si="1"/>
        <v>5000</v>
      </c>
      <c r="T12" s="358">
        <f t="shared" si="2"/>
        <v>7500</v>
      </c>
      <c r="U12" s="361">
        <f t="shared" si="3"/>
        <v>0.00034364261168384877</v>
      </c>
      <c r="V12" s="337"/>
    </row>
    <row r="13" spans="7:21" ht="12.75">
      <c r="G13" s="3"/>
      <c r="H13" s="3"/>
      <c r="I13" s="3"/>
      <c r="K13" s="344"/>
      <c r="L13" s="158"/>
      <c r="M13" s="158"/>
      <c r="N13" s="158"/>
      <c r="O13" s="159"/>
      <c r="P13" s="157"/>
      <c r="Q13" s="158"/>
      <c r="R13" s="158"/>
      <c r="S13" s="358"/>
      <c r="T13" s="358"/>
      <c r="U13" s="159"/>
    </row>
    <row r="14" spans="2:21" ht="12.75">
      <c r="B14" t="s">
        <v>978</v>
      </c>
      <c r="G14" s="3"/>
      <c r="H14" s="3"/>
      <c r="I14" s="3"/>
      <c r="K14" s="351" t="s">
        <v>633</v>
      </c>
      <c r="L14" s="352"/>
      <c r="M14" s="352"/>
      <c r="N14" s="352"/>
      <c r="O14" s="353"/>
      <c r="P14" s="365">
        <f>SUM(P6:P12)</f>
        <v>582</v>
      </c>
      <c r="Q14" s="366">
        <f>SUM(Q6:Q12)</f>
        <v>1</v>
      </c>
      <c r="R14" s="161"/>
      <c r="S14" s="367"/>
      <c r="T14" s="367"/>
      <c r="U14" s="162"/>
    </row>
    <row r="15" spans="2:22" ht="12.75">
      <c r="B15" t="s">
        <v>979</v>
      </c>
      <c r="H15" s="3"/>
      <c r="I15" s="3"/>
      <c r="J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2:22" ht="12.75">
      <c r="B16" t="s">
        <v>980</v>
      </c>
      <c r="H16" s="3"/>
      <c r="I16" s="3"/>
      <c r="J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8:22" ht="12.75">
      <c r="H17" s="3"/>
      <c r="I17" s="3"/>
      <c r="J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1"/>
  <sheetViews>
    <sheetView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25.57421875" style="0" customWidth="1"/>
    <col min="3" max="4" width="11.7109375" style="0" customWidth="1"/>
    <col min="5" max="6" width="14.421875" style="0" customWidth="1"/>
    <col min="7" max="7" width="12.421875" style="0" customWidth="1"/>
    <col min="8" max="16384" width="11.7109375" style="0" customWidth="1"/>
  </cols>
  <sheetData>
    <row r="1" spans="3:6" s="1" customFormat="1" ht="12.75">
      <c r="C1" s="2"/>
      <c r="D1" s="2"/>
      <c r="E1" s="2"/>
      <c r="F1" s="2"/>
    </row>
    <row r="2" spans="3:6" s="1" customFormat="1" ht="12.75">
      <c r="C2" s="2" t="s">
        <v>606</v>
      </c>
      <c r="D2" s="2"/>
      <c r="E2" s="2"/>
      <c r="F2" s="2"/>
    </row>
    <row r="4" spans="2:7" s="3" customFormat="1" ht="12.75">
      <c r="B4" s="4" t="s">
        <v>607</v>
      </c>
      <c r="C4" s="5" t="s">
        <v>608</v>
      </c>
      <c r="D4" s="6" t="s">
        <v>609</v>
      </c>
      <c r="E4" s="7" t="s">
        <v>610</v>
      </c>
      <c r="F4" s="8" t="s">
        <v>611</v>
      </c>
      <c r="G4" s="9" t="s">
        <v>612</v>
      </c>
    </row>
    <row r="5" spans="2:7" ht="12.75">
      <c r="B5" s="10" t="s">
        <v>613</v>
      </c>
      <c r="C5" s="11">
        <v>350159</v>
      </c>
      <c r="D5" s="11">
        <f>C5</f>
        <v>350159</v>
      </c>
      <c r="E5" s="12">
        <v>0.046</v>
      </c>
      <c r="F5" s="12">
        <f aca="true" t="shared" si="0" ref="F5:F16">C5/$C$17</f>
        <v>0.3104392316305642</v>
      </c>
      <c r="G5" s="12">
        <f>F5</f>
        <v>0.3104392316305642</v>
      </c>
    </row>
    <row r="6" spans="2:7" ht="12.75">
      <c r="B6" s="13" t="s">
        <v>614</v>
      </c>
      <c r="C6" s="14">
        <v>301998</v>
      </c>
      <c r="D6" s="14">
        <f aca="true" t="shared" si="1" ref="D6:D15">D5+C6</f>
        <v>652157</v>
      </c>
      <c r="E6" s="15">
        <v>0.011000000000000001</v>
      </c>
      <c r="F6" s="15">
        <f t="shared" si="0"/>
        <v>0.26774130344776836</v>
      </c>
      <c r="G6" s="15">
        <f aca="true" t="shared" si="2" ref="G6:G15">G5+F6</f>
        <v>0.5781805350783326</v>
      </c>
    </row>
    <row r="7" spans="2:7" ht="12.75">
      <c r="B7" s="13" t="s">
        <v>615</v>
      </c>
      <c r="C7" s="14">
        <v>112678</v>
      </c>
      <c r="D7" s="14">
        <f t="shared" si="1"/>
        <v>764835</v>
      </c>
      <c r="E7" s="15">
        <v>0.06</v>
      </c>
      <c r="F7" s="15">
        <f t="shared" si="0"/>
        <v>0.09989653769193056</v>
      </c>
      <c r="G7" s="15">
        <f t="shared" si="2"/>
        <v>0.6780770727702631</v>
      </c>
    </row>
    <row r="8" spans="2:7" ht="12.75">
      <c r="B8" s="13" t="s">
        <v>616</v>
      </c>
      <c r="C8" s="14">
        <v>70055</v>
      </c>
      <c r="D8" s="14">
        <f t="shared" si="1"/>
        <v>834890</v>
      </c>
      <c r="E8" s="15">
        <v>0.044000000000000004</v>
      </c>
      <c r="F8" s="15">
        <f t="shared" si="0"/>
        <v>0.0621084146684197</v>
      </c>
      <c r="G8" s="15">
        <f t="shared" si="2"/>
        <v>0.7401854874386827</v>
      </c>
    </row>
    <row r="9" spans="2:7" ht="12.75">
      <c r="B9" s="13" t="s">
        <v>617</v>
      </c>
      <c r="C9" s="14">
        <v>66091</v>
      </c>
      <c r="D9" s="14">
        <f t="shared" si="1"/>
        <v>900981</v>
      </c>
      <c r="E9" s="15">
        <v>0.073</v>
      </c>
      <c r="F9" s="15">
        <f t="shared" si="0"/>
        <v>0.05859406514667799</v>
      </c>
      <c r="G9" s="15">
        <f t="shared" si="2"/>
        <v>0.7987795525853607</v>
      </c>
    </row>
    <row r="10" spans="2:7" ht="12.75">
      <c r="B10" s="13" t="s">
        <v>618</v>
      </c>
      <c r="C10" s="14">
        <v>45578</v>
      </c>
      <c r="D10" s="14">
        <f t="shared" si="1"/>
        <v>946559</v>
      </c>
      <c r="E10" s="15">
        <v>0.11599999999999999</v>
      </c>
      <c r="F10" s="15">
        <f t="shared" si="0"/>
        <v>0.040407926968199746</v>
      </c>
      <c r="G10" s="15">
        <f t="shared" si="2"/>
        <v>0.8391874795535604</v>
      </c>
    </row>
    <row r="11" spans="2:7" ht="12.75">
      <c r="B11" s="13" t="s">
        <v>619</v>
      </c>
      <c r="C11" s="14">
        <v>39869</v>
      </c>
      <c r="D11" s="14">
        <f t="shared" si="1"/>
        <v>986428</v>
      </c>
      <c r="E11" s="15">
        <v>0.047</v>
      </c>
      <c r="F11" s="15">
        <f t="shared" si="0"/>
        <v>0.03534651894104954</v>
      </c>
      <c r="G11" s="15">
        <f t="shared" si="2"/>
        <v>0.87453399849461</v>
      </c>
    </row>
    <row r="12" spans="2:7" ht="12.75">
      <c r="B12" s="13" t="s">
        <v>620</v>
      </c>
      <c r="C12" s="14">
        <v>34828</v>
      </c>
      <c r="D12" s="14">
        <f t="shared" si="1"/>
        <v>1021256</v>
      </c>
      <c r="E12" s="15">
        <v>-0.027000000000000003</v>
      </c>
      <c r="F12" s="15">
        <f t="shared" si="0"/>
        <v>0.0308773373217004</v>
      </c>
      <c r="G12" s="15">
        <f t="shared" si="2"/>
        <v>0.9054113358163104</v>
      </c>
    </row>
    <row r="13" spans="2:7" ht="12.75">
      <c r="B13" s="13" t="s">
        <v>621</v>
      </c>
      <c r="C13" s="14">
        <v>27808</v>
      </c>
      <c r="D13" s="14">
        <f t="shared" si="1"/>
        <v>1049064</v>
      </c>
      <c r="E13" s="15">
        <v>0.187</v>
      </c>
      <c r="F13" s="15">
        <f t="shared" si="0"/>
        <v>0.02465364064091664</v>
      </c>
      <c r="G13" s="15">
        <f t="shared" si="2"/>
        <v>0.9300649764572271</v>
      </c>
    </row>
    <row r="14" spans="2:7" ht="12.75">
      <c r="B14" s="16" t="s">
        <v>622</v>
      </c>
      <c r="C14" s="14">
        <v>22248</v>
      </c>
      <c r="D14" s="14">
        <f t="shared" si="1"/>
        <v>1071312</v>
      </c>
      <c r="E14" s="15">
        <v>0.171</v>
      </c>
      <c r="F14" s="15">
        <f t="shared" si="0"/>
        <v>0.019724331019099303</v>
      </c>
      <c r="G14" s="15">
        <f t="shared" si="2"/>
        <v>0.9497893074763264</v>
      </c>
    </row>
    <row r="15" spans="2:7" ht="12.75">
      <c r="B15" s="16" t="s">
        <v>623</v>
      </c>
      <c r="C15" s="14">
        <v>14630</v>
      </c>
      <c r="D15" s="14">
        <f t="shared" si="1"/>
        <v>1085942</v>
      </c>
      <c r="E15" s="15">
        <v>-0.007000000000000001</v>
      </c>
      <c r="F15" s="15">
        <f t="shared" si="0"/>
        <v>0.012970467584026554</v>
      </c>
      <c r="G15" s="15">
        <f t="shared" si="2"/>
        <v>0.9627597750603529</v>
      </c>
    </row>
    <row r="16" spans="2:7" ht="12.75">
      <c r="B16" s="16" t="s">
        <v>624</v>
      </c>
      <c r="C16" s="17">
        <f>C17-D15</f>
        <v>42005</v>
      </c>
      <c r="D16" s="17">
        <v>1127947</v>
      </c>
      <c r="E16" s="18"/>
      <c r="F16" s="18">
        <f t="shared" si="0"/>
        <v>0.03724022493964699</v>
      </c>
      <c r="G16" s="18">
        <v>1</v>
      </c>
    </row>
    <row r="17" spans="2:7" ht="12.75">
      <c r="B17" s="19" t="s">
        <v>625</v>
      </c>
      <c r="C17" s="20">
        <v>1127947</v>
      </c>
      <c r="D17" s="21"/>
      <c r="E17" s="22">
        <v>0.055999999999999994</v>
      </c>
      <c r="F17" s="23">
        <f>SUM(F5:F16)</f>
        <v>0.9999999999999999</v>
      </c>
      <c r="G17" s="24"/>
    </row>
    <row r="21" ht="12.75">
      <c r="E21" s="25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A1" sqref="A1"/>
    </sheetView>
  </sheetViews>
  <sheetFormatPr defaultColWidth="11.421875" defaultRowHeight="12.75"/>
  <cols>
    <col min="2" max="2" width="1.57421875" style="0" customWidth="1"/>
    <col min="3" max="3" width="3.57421875" style="0" customWidth="1"/>
    <col min="4" max="4" width="1.421875" style="0" customWidth="1"/>
    <col min="5" max="5" width="4.421875" style="0" customWidth="1"/>
    <col min="6" max="6" width="1.7109375" style="0" customWidth="1"/>
    <col min="7" max="7" width="8.7109375" style="0" customWidth="1"/>
    <col min="8" max="8" width="7.421875" style="236" customWidth="1"/>
    <col min="9" max="9" width="7.57421875" style="236" customWidth="1"/>
    <col min="10" max="10" width="7.8515625" style="0" customWidth="1"/>
    <col min="11" max="11" width="10.140625" style="236" customWidth="1"/>
    <col min="12" max="12" width="11.421875" style="236" customWidth="1"/>
    <col min="13" max="13" width="12.28125" style="236" customWidth="1"/>
    <col min="14" max="14" width="7.421875" style="236" customWidth="1"/>
    <col min="15" max="15" width="9.8515625" style="236" customWidth="1"/>
    <col min="16" max="16" width="10.28125" style="236" customWidth="1"/>
    <col min="17" max="17" width="12.28125" style="236" customWidth="1"/>
    <col min="18" max="18" width="13.421875" style="236" customWidth="1"/>
  </cols>
  <sheetData>
    <row r="1" spans="7:9" ht="12.75">
      <c r="G1" s="3"/>
      <c r="H1" s="225"/>
      <c r="I1" s="225"/>
    </row>
    <row r="2" spans="1:10" ht="12.75">
      <c r="A2" s="1"/>
      <c r="B2" s="1" t="s">
        <v>968</v>
      </c>
      <c r="C2" s="1"/>
      <c r="D2" s="1"/>
      <c r="E2" s="1"/>
      <c r="F2" s="1"/>
      <c r="G2" s="2"/>
      <c r="H2" s="368"/>
      <c r="I2" s="368"/>
      <c r="J2" s="1"/>
    </row>
    <row r="3" spans="7:9" ht="12.75">
      <c r="G3" s="3"/>
      <c r="H3" s="225"/>
      <c r="I3" s="225"/>
    </row>
    <row r="4" spans="1:14" ht="12.75">
      <c r="A4" s="1"/>
      <c r="B4" s="339" t="s">
        <v>970</v>
      </c>
      <c r="C4" s="340"/>
      <c r="D4" s="340"/>
      <c r="E4" s="340"/>
      <c r="F4" s="341"/>
      <c r="G4" s="263" t="s">
        <v>971</v>
      </c>
      <c r="H4" s="369" t="s">
        <v>983</v>
      </c>
      <c r="I4" s="342" t="s">
        <v>988</v>
      </c>
      <c r="J4" s="370" t="s">
        <v>989</v>
      </c>
      <c r="K4" s="370" t="s">
        <v>990</v>
      </c>
      <c r="L4" s="370" t="s">
        <v>991</v>
      </c>
      <c r="M4" s="371" t="s">
        <v>992</v>
      </c>
      <c r="N4"/>
    </row>
    <row r="5" spans="2:14" ht="12.75">
      <c r="B5" s="343"/>
      <c r="C5" s="14"/>
      <c r="D5" s="14"/>
      <c r="E5" s="14"/>
      <c r="F5" s="54"/>
      <c r="G5" s="157"/>
      <c r="H5" s="372"/>
      <c r="I5" s="344"/>
      <c r="J5" s="372"/>
      <c r="K5" s="372"/>
      <c r="L5" s="372"/>
      <c r="M5" s="280"/>
      <c r="N5"/>
    </row>
    <row r="6" spans="2:14" ht="12.75">
      <c r="B6" s="343" t="s">
        <v>973</v>
      </c>
      <c r="C6" s="14">
        <v>0</v>
      </c>
      <c r="D6" s="14" t="s">
        <v>974</v>
      </c>
      <c r="E6" s="14">
        <v>20</v>
      </c>
      <c r="F6" s="54" t="s">
        <v>973</v>
      </c>
      <c r="G6" s="157">
        <v>10</v>
      </c>
      <c r="H6" s="372">
        <f>G6/$G$12</f>
        <v>0.15384615384615385</v>
      </c>
      <c r="I6" s="344">
        <f>(C6+E6)/2</f>
        <v>10</v>
      </c>
      <c r="J6" s="372">
        <f>H6*I6</f>
        <v>1.5384615384615385</v>
      </c>
      <c r="K6" s="372">
        <f>I6-$J$12</f>
        <v>-32.30769230769231</v>
      </c>
      <c r="L6" s="372">
        <f>K6*K6</f>
        <v>1043.7869822485206</v>
      </c>
      <c r="M6" s="280">
        <f>H6*L6</f>
        <v>160.58261265361858</v>
      </c>
      <c r="N6"/>
    </row>
    <row r="7" spans="2:14" ht="12.75">
      <c r="B7" s="343" t="s">
        <v>973</v>
      </c>
      <c r="C7" s="14">
        <v>20</v>
      </c>
      <c r="D7" s="14" t="s">
        <v>974</v>
      </c>
      <c r="E7" s="14">
        <v>40</v>
      </c>
      <c r="F7" s="54" t="s">
        <v>973</v>
      </c>
      <c r="G7" s="157">
        <v>25</v>
      </c>
      <c r="H7" s="372">
        <f>G7/$G$12</f>
        <v>0.38461538461538464</v>
      </c>
      <c r="I7" s="344">
        <f>(C7+E7)/2</f>
        <v>30</v>
      </c>
      <c r="J7" s="372">
        <f>H7*I7</f>
        <v>11.538461538461538</v>
      </c>
      <c r="K7" s="372">
        <f>I7-$J$12</f>
        <v>-12.307692307692307</v>
      </c>
      <c r="L7" s="372">
        <f>K7*K7</f>
        <v>151.47928994082838</v>
      </c>
      <c r="M7" s="280">
        <f>H7*L7</f>
        <v>58.26126536185707</v>
      </c>
      <c r="N7"/>
    </row>
    <row r="8" spans="2:14" ht="12.75">
      <c r="B8" s="343" t="s">
        <v>973</v>
      </c>
      <c r="C8" s="14">
        <v>40</v>
      </c>
      <c r="D8" s="14" t="s">
        <v>974</v>
      </c>
      <c r="E8" s="14">
        <v>60</v>
      </c>
      <c r="F8" s="54" t="s">
        <v>973</v>
      </c>
      <c r="G8" s="157">
        <v>15</v>
      </c>
      <c r="H8" s="372">
        <f>G8/$G$12</f>
        <v>0.23076923076923078</v>
      </c>
      <c r="I8" s="344">
        <f>(C8+E8)/2</f>
        <v>50</v>
      </c>
      <c r="J8" s="372">
        <f>H8*I8</f>
        <v>11.538461538461538</v>
      </c>
      <c r="K8" s="372">
        <f>I8-$J$12</f>
        <v>7.692307692307693</v>
      </c>
      <c r="L8" s="372">
        <f>K8*K8</f>
        <v>59.17159763313611</v>
      </c>
      <c r="M8" s="280">
        <f>H8*L8</f>
        <v>13.654984069185257</v>
      </c>
      <c r="N8"/>
    </row>
    <row r="9" spans="2:14" ht="12.75">
      <c r="B9" s="343" t="s">
        <v>973</v>
      </c>
      <c r="C9" s="14">
        <v>60</v>
      </c>
      <c r="D9" s="14" t="s">
        <v>974</v>
      </c>
      <c r="E9" s="14">
        <v>80</v>
      </c>
      <c r="F9" s="54" t="s">
        <v>973</v>
      </c>
      <c r="G9" s="157">
        <v>10</v>
      </c>
      <c r="H9" s="372">
        <f>G9/$G$12</f>
        <v>0.15384615384615385</v>
      </c>
      <c r="I9" s="344">
        <f>(C9+E9)/2</f>
        <v>70</v>
      </c>
      <c r="J9" s="372">
        <f>H9*I9</f>
        <v>10.76923076923077</v>
      </c>
      <c r="K9" s="372">
        <f>I9-$J$12</f>
        <v>27.692307692307693</v>
      </c>
      <c r="L9" s="372">
        <f>K9*K9</f>
        <v>766.8639053254439</v>
      </c>
      <c r="M9" s="280">
        <f>H9*L9</f>
        <v>117.9790623577606</v>
      </c>
      <c r="N9"/>
    </row>
    <row r="10" spans="2:14" ht="12.75">
      <c r="B10" s="343" t="s">
        <v>973</v>
      </c>
      <c r="C10" s="14">
        <v>80</v>
      </c>
      <c r="D10" s="14" t="s">
        <v>974</v>
      </c>
      <c r="E10" s="14">
        <v>100</v>
      </c>
      <c r="F10" s="54" t="s">
        <v>973</v>
      </c>
      <c r="G10" s="157">
        <v>5</v>
      </c>
      <c r="H10" s="372">
        <f>G10/$G$12</f>
        <v>0.07692307692307693</v>
      </c>
      <c r="I10" s="344">
        <f>(C10+E10)/2</f>
        <v>90</v>
      </c>
      <c r="J10" s="372">
        <f>H10*I10</f>
        <v>6.923076923076923</v>
      </c>
      <c r="K10" s="372">
        <f>I10-$J$12</f>
        <v>47.69230769230769</v>
      </c>
      <c r="L10" s="372">
        <f>K10*K10</f>
        <v>2274.5562130177514</v>
      </c>
      <c r="M10" s="280">
        <f>H10*L10</f>
        <v>174.96586253982704</v>
      </c>
      <c r="N10"/>
    </row>
    <row r="11" spans="2:14" ht="12.75">
      <c r="B11" s="343"/>
      <c r="C11" s="14"/>
      <c r="D11" s="14"/>
      <c r="E11" s="14"/>
      <c r="F11" s="54"/>
      <c r="G11" s="157"/>
      <c r="H11" s="372"/>
      <c r="I11" s="344"/>
      <c r="J11" s="372"/>
      <c r="K11" s="372"/>
      <c r="L11" s="372"/>
      <c r="M11" s="280"/>
      <c r="N11"/>
    </row>
    <row r="12" spans="2:18" s="1" customFormat="1" ht="12.75">
      <c r="B12" s="345" t="s">
        <v>633</v>
      </c>
      <c r="C12" s="346"/>
      <c r="D12" s="346"/>
      <c r="E12" s="346"/>
      <c r="F12" s="347"/>
      <c r="G12" s="365">
        <f>SUM(G6:G10)</f>
        <v>65</v>
      </c>
      <c r="H12" s="373"/>
      <c r="I12" s="351"/>
      <c r="J12" s="373">
        <f>SUM(J6:J10)</f>
        <v>42.30769230769231</v>
      </c>
      <c r="K12" s="373"/>
      <c r="L12" s="373"/>
      <c r="M12" s="374">
        <f>SUM(M6:M10)</f>
        <v>525.4437869822485</v>
      </c>
      <c r="O12" s="272"/>
      <c r="P12" s="272"/>
      <c r="Q12" s="272"/>
      <c r="R12" s="272"/>
    </row>
    <row r="13" spans="7:9" ht="12.75">
      <c r="G13" s="3"/>
      <c r="H13" s="225"/>
      <c r="I13" s="225"/>
    </row>
    <row r="14" spans="2:13" ht="12.75">
      <c r="B14" t="s">
        <v>981</v>
      </c>
      <c r="G14" s="3"/>
      <c r="H14" s="225"/>
      <c r="I14" s="225"/>
      <c r="L14" s="375" t="s">
        <v>807</v>
      </c>
      <c r="M14" s="376">
        <f>J12</f>
        <v>42.30769230769231</v>
      </c>
    </row>
    <row r="15" spans="2:13" ht="12.75">
      <c r="B15" t="s">
        <v>982</v>
      </c>
      <c r="G15" s="3"/>
      <c r="H15" s="225"/>
      <c r="I15" s="225"/>
      <c r="L15" s="377" t="s">
        <v>993</v>
      </c>
      <c r="M15" s="378">
        <f>M12</f>
        <v>525.4437869822485</v>
      </c>
    </row>
    <row r="16" spans="7:13" ht="12.75">
      <c r="G16" s="3"/>
      <c r="H16" s="225"/>
      <c r="I16" s="225"/>
      <c r="L16" s="379" t="s">
        <v>820</v>
      </c>
      <c r="M16" s="380">
        <f>SQRT(M15)</f>
        <v>22.922560655002062</v>
      </c>
    </row>
    <row r="17" spans="7:9" ht="12.75">
      <c r="G17" s="3"/>
      <c r="H17" s="225"/>
      <c r="I17" s="225"/>
    </row>
    <row r="18" spans="7:9" ht="12.75">
      <c r="G18" s="3"/>
      <c r="H18" s="225"/>
      <c r="I18" s="225"/>
    </row>
    <row r="19" spans="6:19" ht="12.75">
      <c r="F19" s="1"/>
      <c r="G19" s="303" t="s">
        <v>969</v>
      </c>
      <c r="H19" s="2"/>
      <c r="I19" s="2"/>
      <c r="J19" s="2"/>
      <c r="K19" s="2"/>
      <c r="L19" s="2"/>
      <c r="M19" s="368"/>
      <c r="N19" s="2"/>
      <c r="O19" s="368"/>
      <c r="P19" s="368"/>
      <c r="Q19" s="368"/>
      <c r="R19" s="368"/>
      <c r="S19" s="1"/>
    </row>
    <row r="20" spans="7:18" ht="12.75">
      <c r="G20" s="338"/>
      <c r="H20" s="3"/>
      <c r="I20" s="3"/>
      <c r="J20" s="3"/>
      <c r="K20" s="3"/>
      <c r="L20" s="3"/>
      <c r="M20" s="225"/>
      <c r="N20" s="3"/>
      <c r="O20" s="225"/>
      <c r="P20" s="225"/>
      <c r="Q20" s="225"/>
      <c r="R20" s="225"/>
    </row>
    <row r="21" spans="6:19" ht="12.75">
      <c r="F21" s="1"/>
      <c r="G21" s="355" t="s">
        <v>972</v>
      </c>
      <c r="H21" s="264"/>
      <c r="I21" s="264"/>
      <c r="J21" s="264"/>
      <c r="K21" s="265"/>
      <c r="L21" s="342" t="s">
        <v>971</v>
      </c>
      <c r="M21" s="381" t="s">
        <v>983</v>
      </c>
      <c r="N21" s="263" t="s">
        <v>988</v>
      </c>
      <c r="O21" s="370" t="s">
        <v>989</v>
      </c>
      <c r="P21" s="370" t="s">
        <v>990</v>
      </c>
      <c r="Q21" s="370" t="s">
        <v>991</v>
      </c>
      <c r="R21" s="371" t="s">
        <v>992</v>
      </c>
      <c r="S21" s="1"/>
    </row>
    <row r="22" spans="7:18" ht="12.75">
      <c r="G22" s="344"/>
      <c r="H22" s="158"/>
      <c r="I22" s="158"/>
      <c r="J22" s="158"/>
      <c r="K22" s="159"/>
      <c r="L22" s="344"/>
      <c r="M22" s="280"/>
      <c r="N22" s="157"/>
      <c r="O22" s="382"/>
      <c r="P22" s="382"/>
      <c r="Q22" s="382"/>
      <c r="R22" s="280"/>
    </row>
    <row r="23" spans="7:18" ht="12.75">
      <c r="G23" s="344">
        <v>0</v>
      </c>
      <c r="H23" s="158" t="s">
        <v>975</v>
      </c>
      <c r="I23" s="158" t="s">
        <v>976</v>
      </c>
      <c r="J23" s="158" t="s">
        <v>977</v>
      </c>
      <c r="K23" s="159">
        <v>500</v>
      </c>
      <c r="L23" s="344">
        <v>20</v>
      </c>
      <c r="M23" s="280">
        <f aca="true" t="shared" si="0" ref="M23:M29">L23/$L$31</f>
        <v>0.03436426116838488</v>
      </c>
      <c r="N23" s="157">
        <f aca="true" t="shared" si="1" ref="N23:N29">(G23+K23)/2</f>
        <v>250</v>
      </c>
      <c r="O23" s="382">
        <f aca="true" t="shared" si="2" ref="O23:O29">M23*N23</f>
        <v>8.591065292096221</v>
      </c>
      <c r="P23" s="382">
        <f aca="true" t="shared" si="3" ref="P23:P29">N23-$O$31</f>
        <v>-1184.7079037800686</v>
      </c>
      <c r="Q23" s="382">
        <f aca="true" t="shared" si="4" ref="Q23:Q29">P23*P23</f>
        <v>1403532.8172789642</v>
      </c>
      <c r="R23" s="280">
        <f aca="true" t="shared" si="5" ref="R23:R29">M23*Q23</f>
        <v>48231.36829137334</v>
      </c>
    </row>
    <row r="24" spans="7:18" ht="12.75">
      <c r="G24" s="344">
        <v>500</v>
      </c>
      <c r="H24" s="158" t="s">
        <v>975</v>
      </c>
      <c r="I24" s="158" t="s">
        <v>976</v>
      </c>
      <c r="J24" s="158" t="s">
        <v>977</v>
      </c>
      <c r="K24" s="159">
        <v>1000</v>
      </c>
      <c r="L24" s="344">
        <v>100</v>
      </c>
      <c r="M24" s="280">
        <f t="shared" si="0"/>
        <v>0.1718213058419244</v>
      </c>
      <c r="N24" s="157">
        <f t="shared" si="1"/>
        <v>750</v>
      </c>
      <c r="O24" s="382">
        <f t="shared" si="2"/>
        <v>128.8659793814433</v>
      </c>
      <c r="P24" s="382">
        <f t="shared" si="3"/>
        <v>-684.7079037800686</v>
      </c>
      <c r="Q24" s="382">
        <f t="shared" si="4"/>
        <v>468824.91349889565</v>
      </c>
      <c r="R24" s="280">
        <f t="shared" si="5"/>
        <v>80554.1088486075</v>
      </c>
    </row>
    <row r="25" spans="7:18" ht="12.75">
      <c r="G25" s="344">
        <v>1000</v>
      </c>
      <c r="H25" s="158" t="s">
        <v>975</v>
      </c>
      <c r="I25" s="158" t="s">
        <v>976</v>
      </c>
      <c r="J25" s="158" t="s">
        <v>977</v>
      </c>
      <c r="K25" s="159">
        <v>1500</v>
      </c>
      <c r="L25" s="344">
        <v>250</v>
      </c>
      <c r="M25" s="280">
        <f t="shared" si="0"/>
        <v>0.42955326460481097</v>
      </c>
      <c r="N25" s="157">
        <f t="shared" si="1"/>
        <v>1250</v>
      </c>
      <c r="O25" s="382">
        <f t="shared" si="2"/>
        <v>536.9415807560138</v>
      </c>
      <c r="P25" s="382">
        <f t="shared" si="3"/>
        <v>-184.7079037800686</v>
      </c>
      <c r="Q25" s="382">
        <f t="shared" si="4"/>
        <v>34117.009718827074</v>
      </c>
      <c r="R25" s="280">
        <f t="shared" si="5"/>
        <v>14655.072903276234</v>
      </c>
    </row>
    <row r="26" spans="7:18" ht="12.75">
      <c r="G26" s="344">
        <v>1500</v>
      </c>
      <c r="H26" s="158" t="s">
        <v>975</v>
      </c>
      <c r="I26" s="158" t="s">
        <v>976</v>
      </c>
      <c r="J26" s="158" t="s">
        <v>977</v>
      </c>
      <c r="K26" s="159">
        <v>2000</v>
      </c>
      <c r="L26" s="344">
        <v>150</v>
      </c>
      <c r="M26" s="280">
        <f t="shared" si="0"/>
        <v>0.25773195876288657</v>
      </c>
      <c r="N26" s="157">
        <f t="shared" si="1"/>
        <v>1750</v>
      </c>
      <c r="O26" s="382">
        <f t="shared" si="2"/>
        <v>451.0309278350515</v>
      </c>
      <c r="P26" s="382">
        <f t="shared" si="3"/>
        <v>315.2920962199314</v>
      </c>
      <c r="Q26" s="382">
        <f t="shared" si="4"/>
        <v>99409.10593875848</v>
      </c>
      <c r="R26" s="280">
        <f t="shared" si="5"/>
        <v>25620.903592463525</v>
      </c>
    </row>
    <row r="27" spans="7:18" ht="12.75">
      <c r="G27" s="344">
        <v>2000</v>
      </c>
      <c r="H27" s="158" t="s">
        <v>975</v>
      </c>
      <c r="I27" s="158" t="s">
        <v>976</v>
      </c>
      <c r="J27" s="158" t="s">
        <v>977</v>
      </c>
      <c r="K27" s="159">
        <v>3000</v>
      </c>
      <c r="L27" s="344">
        <v>50</v>
      </c>
      <c r="M27" s="280">
        <f t="shared" si="0"/>
        <v>0.0859106529209622</v>
      </c>
      <c r="N27" s="157">
        <f t="shared" si="1"/>
        <v>2500</v>
      </c>
      <c r="O27" s="382">
        <f t="shared" si="2"/>
        <v>214.7766323024055</v>
      </c>
      <c r="P27" s="382">
        <f t="shared" si="3"/>
        <v>1065.2920962199314</v>
      </c>
      <c r="Q27" s="382">
        <f t="shared" si="4"/>
        <v>1134847.2502686556</v>
      </c>
      <c r="R27" s="280">
        <f t="shared" si="5"/>
        <v>97495.4682361388</v>
      </c>
    </row>
    <row r="28" spans="7:18" ht="12.75">
      <c r="G28" s="344">
        <v>3000</v>
      </c>
      <c r="H28" s="158" t="s">
        <v>975</v>
      </c>
      <c r="I28" s="158" t="s">
        <v>976</v>
      </c>
      <c r="J28" s="158" t="s">
        <v>977</v>
      </c>
      <c r="K28" s="159">
        <v>5000</v>
      </c>
      <c r="L28" s="344">
        <v>10</v>
      </c>
      <c r="M28" s="280">
        <f t="shared" si="0"/>
        <v>0.01718213058419244</v>
      </c>
      <c r="N28" s="157">
        <f t="shared" si="1"/>
        <v>4000</v>
      </c>
      <c r="O28" s="382">
        <f t="shared" si="2"/>
        <v>68.72852233676977</v>
      </c>
      <c r="P28" s="382">
        <f t="shared" si="3"/>
        <v>2565.2920962199314</v>
      </c>
      <c r="Q28" s="382">
        <f t="shared" si="4"/>
        <v>6580723.53892845</v>
      </c>
      <c r="R28" s="280">
        <f t="shared" si="5"/>
        <v>113070.85118433763</v>
      </c>
    </row>
    <row r="29" spans="6:19" ht="12.75">
      <c r="F29" s="337"/>
      <c r="G29" s="348">
        <v>5000</v>
      </c>
      <c r="H29" s="158" t="s">
        <v>975</v>
      </c>
      <c r="I29" s="158" t="s">
        <v>976</v>
      </c>
      <c r="J29" s="158" t="s">
        <v>977</v>
      </c>
      <c r="K29" s="349">
        <v>10000</v>
      </c>
      <c r="L29" s="348">
        <v>2</v>
      </c>
      <c r="M29" s="280">
        <f t="shared" si="0"/>
        <v>0.003436426116838488</v>
      </c>
      <c r="N29" s="157">
        <f t="shared" si="1"/>
        <v>7500</v>
      </c>
      <c r="O29" s="382">
        <f t="shared" si="2"/>
        <v>25.77319587628866</v>
      </c>
      <c r="P29" s="382">
        <f t="shared" si="3"/>
        <v>6065.292096219931</v>
      </c>
      <c r="Q29" s="382">
        <f t="shared" si="4"/>
        <v>36787768.21246797</v>
      </c>
      <c r="R29" s="280">
        <f t="shared" si="5"/>
        <v>126418.44746552566</v>
      </c>
      <c r="S29" s="337"/>
    </row>
    <row r="30" spans="7:18" ht="12.75">
      <c r="G30" s="344"/>
      <c r="H30" s="158"/>
      <c r="I30" s="158"/>
      <c r="J30" s="158"/>
      <c r="K30" s="159"/>
      <c r="L30" s="344"/>
      <c r="M30" s="280"/>
      <c r="N30" s="157"/>
      <c r="O30" s="382"/>
      <c r="P30" s="382"/>
      <c r="Q30" s="382"/>
      <c r="R30" s="280"/>
    </row>
    <row r="31" spans="7:18" s="1" customFormat="1" ht="12.75">
      <c r="G31" s="351" t="s">
        <v>633</v>
      </c>
      <c r="H31" s="352"/>
      <c r="I31" s="352"/>
      <c r="J31" s="352"/>
      <c r="K31" s="353"/>
      <c r="L31" s="351">
        <f>SUM(L23:L29)</f>
        <v>582</v>
      </c>
      <c r="M31" s="374"/>
      <c r="N31" s="365"/>
      <c r="O31" s="383">
        <f>SUM(O23:O29)</f>
        <v>1434.7079037800686</v>
      </c>
      <c r="P31" s="383"/>
      <c r="Q31" s="383"/>
      <c r="R31" s="374">
        <f>SUM(R23:R29)</f>
        <v>506046.2205217227</v>
      </c>
    </row>
    <row r="32" spans="7:18" ht="12.75">
      <c r="G32" s="3"/>
      <c r="H32" s="3"/>
      <c r="I32" s="3"/>
      <c r="J32" s="3"/>
      <c r="K32" s="3"/>
      <c r="L32" s="3"/>
      <c r="M32" s="225"/>
      <c r="N32" s="3"/>
      <c r="O32" s="225"/>
      <c r="P32" s="225"/>
      <c r="Q32" s="225"/>
      <c r="R32" s="225"/>
    </row>
    <row r="33" spans="7:18" ht="12.75">
      <c r="G33" s="3"/>
      <c r="H33" s="3"/>
      <c r="I33" s="3"/>
      <c r="J33" s="3"/>
      <c r="K33" s="3"/>
      <c r="L33" s="3"/>
      <c r="M33" s="225"/>
      <c r="N33" s="3"/>
      <c r="O33" s="225"/>
      <c r="P33" s="225"/>
      <c r="Q33" s="375" t="s">
        <v>807</v>
      </c>
      <c r="R33" s="376">
        <f>O31</f>
        <v>1434.7079037800686</v>
      </c>
    </row>
    <row r="34" spans="7:18" ht="12.75">
      <c r="G34" s="3"/>
      <c r="H34" s="3"/>
      <c r="I34" s="3"/>
      <c r="J34" s="3"/>
      <c r="K34" s="3"/>
      <c r="L34" s="3"/>
      <c r="M34" s="225"/>
      <c r="N34" s="3"/>
      <c r="O34" s="225"/>
      <c r="P34" s="225"/>
      <c r="Q34" s="377" t="s">
        <v>993</v>
      </c>
      <c r="R34" s="378">
        <f>R31</f>
        <v>506046.2205217227</v>
      </c>
    </row>
    <row r="35" spans="17:18" ht="12.75">
      <c r="Q35" s="379" t="s">
        <v>820</v>
      </c>
      <c r="R35" s="380">
        <f>SQRT(R34)</f>
        <v>711.3692575039511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A1">
      <selection activeCell="A1" sqref="A1"/>
    </sheetView>
  </sheetViews>
  <sheetFormatPr defaultColWidth="11.421875" defaultRowHeight="12.75"/>
  <cols>
    <col min="1" max="2" width="5.00390625" style="0" customWidth="1"/>
    <col min="3" max="3" width="11.00390625" style="0" customWidth="1"/>
    <col min="4" max="4" width="6.7109375" style="0" customWidth="1"/>
    <col min="5" max="6" width="5.140625" style="0" customWidth="1"/>
    <col min="7" max="7" width="9.57421875" style="0" customWidth="1"/>
    <col min="8" max="8" width="8.28125" style="0" customWidth="1"/>
    <col min="9" max="9" width="8.421875" style="0" customWidth="1"/>
    <col min="10" max="10" width="7.28125" style="0" customWidth="1"/>
    <col min="11" max="11" width="9.140625" style="0" customWidth="1"/>
    <col min="12" max="12" width="8.28125" style="0" customWidth="1"/>
    <col min="13" max="13" width="8.28125" style="384" customWidth="1"/>
    <col min="14" max="16" width="8.28125" style="0" customWidth="1"/>
    <col min="17" max="17" width="7.28125" style="0" customWidth="1"/>
    <col min="18" max="18" width="9.140625" style="0" customWidth="1"/>
    <col min="19" max="19" width="8.28125" style="0" customWidth="1"/>
    <col min="20" max="20" width="8.28125" style="384" customWidth="1"/>
    <col min="21" max="16384" width="11.7109375" style="0" customWidth="1"/>
  </cols>
  <sheetData>
    <row r="1" spans="2:18" ht="12.75">
      <c r="B1" s="1"/>
      <c r="G1" s="25"/>
      <c r="H1" s="25"/>
      <c r="K1" s="25"/>
      <c r="L1" s="25"/>
      <c r="R1" s="25"/>
    </row>
    <row r="2" spans="1:20" ht="12.75">
      <c r="A2" s="1"/>
      <c r="B2" s="1"/>
      <c r="C2" s="1"/>
      <c r="D2" s="1"/>
      <c r="E2" s="1"/>
      <c r="F2" s="1"/>
      <c r="G2" s="1"/>
      <c r="I2" s="385" t="s">
        <v>994</v>
      </c>
      <c r="J2" s="1"/>
      <c r="K2" s="385"/>
      <c r="L2" s="385"/>
      <c r="M2" s="386"/>
      <c r="N2" s="1"/>
      <c r="O2" s="1"/>
      <c r="P2" s="1"/>
      <c r="Q2" s="1"/>
      <c r="R2" s="385"/>
      <c r="S2" s="1"/>
      <c r="T2" s="386"/>
    </row>
    <row r="3" spans="1:20" ht="12.75">
      <c r="A3" s="1"/>
      <c r="B3" s="1"/>
      <c r="C3" s="1"/>
      <c r="D3" s="1"/>
      <c r="E3" s="1"/>
      <c r="F3" s="1"/>
      <c r="G3" s="1"/>
      <c r="H3" s="385"/>
      <c r="I3" s="1"/>
      <c r="J3" s="1"/>
      <c r="K3" s="385"/>
      <c r="L3" s="385"/>
      <c r="M3" s="386"/>
      <c r="N3" s="1"/>
      <c r="O3" s="1"/>
      <c r="P3" s="1"/>
      <c r="Q3" s="1"/>
      <c r="R3" s="385"/>
      <c r="S3" s="1"/>
      <c r="T3" s="386"/>
    </row>
    <row r="4" spans="1:20" ht="12.75">
      <c r="A4" s="1"/>
      <c r="B4" s="1"/>
      <c r="C4" s="1"/>
      <c r="D4" s="1"/>
      <c r="E4" s="1"/>
      <c r="F4" s="1"/>
      <c r="G4" s="385" t="s">
        <v>995</v>
      </c>
      <c r="H4" s="385"/>
      <c r="I4" s="1"/>
      <c r="J4" s="1"/>
      <c r="K4" s="385"/>
      <c r="L4" s="385"/>
      <c r="M4" s="386"/>
      <c r="N4" s="1"/>
      <c r="O4" s="1"/>
      <c r="P4" s="1"/>
      <c r="Q4" s="1"/>
      <c r="R4" s="385"/>
      <c r="S4" s="1"/>
      <c r="T4" s="387"/>
    </row>
    <row r="5" spans="2:18" ht="12.75">
      <c r="B5" s="1"/>
      <c r="G5" s="25"/>
      <c r="H5" s="25"/>
      <c r="K5" s="25"/>
      <c r="L5" s="25"/>
      <c r="R5" s="25"/>
    </row>
    <row r="6" spans="1:20" s="396" customFormat="1" ht="12.75">
      <c r="A6" s="388"/>
      <c r="B6" s="389" t="s">
        <v>726</v>
      </c>
      <c r="C6" s="390" t="s">
        <v>727</v>
      </c>
      <c r="D6" s="391" t="s">
        <v>996</v>
      </c>
      <c r="E6" s="391" t="s">
        <v>997</v>
      </c>
      <c r="F6" s="391" t="s">
        <v>998</v>
      </c>
      <c r="G6" s="392" t="s">
        <v>999</v>
      </c>
      <c r="H6" s="392" t="s">
        <v>1000</v>
      </c>
      <c r="I6" s="391" t="s">
        <v>1001</v>
      </c>
      <c r="J6" s="391" t="s">
        <v>1002</v>
      </c>
      <c r="K6" s="393" t="s">
        <v>1003</v>
      </c>
      <c r="L6" s="393" t="s">
        <v>1000</v>
      </c>
      <c r="M6" s="394" t="s">
        <v>1004</v>
      </c>
      <c r="N6" s="392" t="s">
        <v>1005</v>
      </c>
      <c r="O6" s="392" t="s">
        <v>1006</v>
      </c>
      <c r="P6" s="391" t="s">
        <v>1007</v>
      </c>
      <c r="Q6" s="391" t="s">
        <v>1008</v>
      </c>
      <c r="R6" s="393" t="s">
        <v>1009</v>
      </c>
      <c r="S6" s="393" t="s">
        <v>1006</v>
      </c>
      <c r="T6" s="395" t="s">
        <v>1004</v>
      </c>
    </row>
    <row r="7" spans="1:20" s="396" customFormat="1" ht="12.75">
      <c r="A7" s="397"/>
      <c r="B7" s="398">
        <v>0</v>
      </c>
      <c r="C7" s="399">
        <v>25</v>
      </c>
      <c r="D7" s="400"/>
      <c r="E7" s="400">
        <v>0</v>
      </c>
      <c r="F7" s="400"/>
      <c r="G7" s="401">
        <v>0</v>
      </c>
      <c r="H7" s="401">
        <v>0</v>
      </c>
      <c r="I7" s="400">
        <v>0</v>
      </c>
      <c r="J7" s="400">
        <v>0</v>
      </c>
      <c r="K7" s="402">
        <v>0</v>
      </c>
      <c r="L7" s="402">
        <v>0</v>
      </c>
      <c r="M7" s="403"/>
      <c r="N7" s="401">
        <v>0</v>
      </c>
      <c r="O7" s="401">
        <v>0</v>
      </c>
      <c r="P7" s="400">
        <v>0</v>
      </c>
      <c r="Q7" s="400">
        <v>0</v>
      </c>
      <c r="R7" s="402">
        <v>0</v>
      </c>
      <c r="S7" s="402">
        <v>0</v>
      </c>
      <c r="T7" s="404"/>
    </row>
    <row r="8" spans="2:20" s="396" customFormat="1" ht="12.75">
      <c r="B8" s="398">
        <v>25</v>
      </c>
      <c r="C8" s="405">
        <v>35</v>
      </c>
      <c r="D8" s="406">
        <f aca="true" t="shared" si="0" ref="D8:D14">(B8+C8)/2</f>
        <v>30</v>
      </c>
      <c r="E8" s="406">
        <v>30</v>
      </c>
      <c r="F8" s="406">
        <v>50</v>
      </c>
      <c r="G8" s="407">
        <f aca="true" t="shared" si="1" ref="G8:G14">E8/$E$15</f>
        <v>0.17142857142857143</v>
      </c>
      <c r="H8" s="407">
        <f>G8</f>
        <v>0.17142857142857143</v>
      </c>
      <c r="I8" s="406">
        <f aca="true" t="shared" si="2" ref="I8:I14">D8*E8</f>
        <v>900</v>
      </c>
      <c r="J8" s="406">
        <f>I8</f>
        <v>900</v>
      </c>
      <c r="K8" s="408">
        <f aca="true" t="shared" si="3" ref="K8:K14">J8/$I$15</f>
        <v>0.09703504043126684</v>
      </c>
      <c r="L8" s="408">
        <f aca="true" t="shared" si="4" ref="L8:L14">H8</f>
        <v>0.17142857142857143</v>
      </c>
      <c r="M8" s="409">
        <f>H8*K8/2</f>
        <v>0.008317289179822872</v>
      </c>
      <c r="N8" s="407">
        <f aca="true" t="shared" si="5" ref="N8:N14">F8/$F$15</f>
        <v>0.25</v>
      </c>
      <c r="O8" s="407">
        <f>N8</f>
        <v>0.25</v>
      </c>
      <c r="P8" s="406">
        <f aca="true" t="shared" si="6" ref="P8:P14">F8*D8</f>
        <v>1500</v>
      </c>
      <c r="Q8" s="406">
        <f>P8</f>
        <v>1500</v>
      </c>
      <c r="R8" s="408">
        <f aca="true" t="shared" si="7" ref="R8:R14">Q8/$P$15</f>
        <v>0.14018691588785046</v>
      </c>
      <c r="S8" s="408">
        <f aca="true" t="shared" si="8" ref="S8:S14">O8</f>
        <v>0.25</v>
      </c>
      <c r="T8" s="410">
        <f>O8*R8/2</f>
        <v>0.017523364485981307</v>
      </c>
    </row>
    <row r="9" spans="2:20" s="396" customFormat="1" ht="12.75">
      <c r="B9" s="398">
        <v>35</v>
      </c>
      <c r="C9" s="405">
        <v>45</v>
      </c>
      <c r="D9" s="406">
        <f t="shared" si="0"/>
        <v>40</v>
      </c>
      <c r="E9" s="406">
        <v>40</v>
      </c>
      <c r="F9" s="406">
        <v>70</v>
      </c>
      <c r="G9" s="407">
        <f t="shared" si="1"/>
        <v>0.22857142857142856</v>
      </c>
      <c r="H9" s="407">
        <f aca="true" t="shared" si="9" ref="H9:H14">H8+G9</f>
        <v>0.4</v>
      </c>
      <c r="I9" s="406">
        <f t="shared" si="2"/>
        <v>1600</v>
      </c>
      <c r="J9" s="406">
        <f aca="true" t="shared" si="10" ref="J9:J14">J8+I9</f>
        <v>2500</v>
      </c>
      <c r="K9" s="408">
        <f t="shared" si="3"/>
        <v>0.2695417789757412</v>
      </c>
      <c r="L9" s="408">
        <f t="shared" si="4"/>
        <v>0.4</v>
      </c>
      <c r="M9" s="409">
        <f aca="true" t="shared" si="11" ref="M9:M14">(H9-H8)*(K9+K8)/2</f>
        <v>0.04189449364651521</v>
      </c>
      <c r="N9" s="407">
        <f t="shared" si="5"/>
        <v>0.35</v>
      </c>
      <c r="O9" s="407">
        <f aca="true" t="shared" si="12" ref="O9:O14">O8+N9</f>
        <v>0.6</v>
      </c>
      <c r="P9" s="406">
        <f t="shared" si="6"/>
        <v>2800</v>
      </c>
      <c r="Q9" s="406">
        <f aca="true" t="shared" si="13" ref="Q9:Q14">Q8+P9</f>
        <v>4300</v>
      </c>
      <c r="R9" s="408">
        <f t="shared" si="7"/>
        <v>0.40186915887850466</v>
      </c>
      <c r="S9" s="408">
        <f t="shared" si="8"/>
        <v>0.6</v>
      </c>
      <c r="T9" s="410">
        <f aca="true" t="shared" si="14" ref="T9:T14">(O9-O8)*(R9+R8)/2</f>
        <v>0.09485981308411214</v>
      </c>
    </row>
    <row r="10" spans="2:20" s="396" customFormat="1" ht="12.75">
      <c r="B10" s="398">
        <v>45</v>
      </c>
      <c r="C10" s="405">
        <v>55</v>
      </c>
      <c r="D10" s="406">
        <f t="shared" si="0"/>
        <v>50</v>
      </c>
      <c r="E10" s="406">
        <v>35</v>
      </c>
      <c r="F10" s="406">
        <v>10</v>
      </c>
      <c r="G10" s="407">
        <f t="shared" si="1"/>
        <v>0.2</v>
      </c>
      <c r="H10" s="407">
        <f t="shared" si="9"/>
        <v>0.6000000000000001</v>
      </c>
      <c r="I10" s="406">
        <f t="shared" si="2"/>
        <v>1750</v>
      </c>
      <c r="J10" s="406">
        <f t="shared" si="10"/>
        <v>4250</v>
      </c>
      <c r="K10" s="408">
        <f t="shared" si="3"/>
        <v>0.4582210242587601</v>
      </c>
      <c r="L10" s="408">
        <f t="shared" si="4"/>
        <v>0.6000000000000001</v>
      </c>
      <c r="M10" s="409">
        <f t="shared" si="11"/>
        <v>0.07277628032345017</v>
      </c>
      <c r="N10" s="407">
        <f t="shared" si="5"/>
        <v>0.05</v>
      </c>
      <c r="O10" s="407">
        <f t="shared" si="12"/>
        <v>0.65</v>
      </c>
      <c r="P10" s="406">
        <f t="shared" si="6"/>
        <v>500</v>
      </c>
      <c r="Q10" s="406">
        <f t="shared" si="13"/>
        <v>4800</v>
      </c>
      <c r="R10" s="408">
        <f t="shared" si="7"/>
        <v>0.4485981308411215</v>
      </c>
      <c r="S10" s="408">
        <f t="shared" si="8"/>
        <v>0.65</v>
      </c>
      <c r="T10" s="410">
        <f t="shared" si="14"/>
        <v>0.021261682242990673</v>
      </c>
    </row>
    <row r="11" spans="2:20" s="396" customFormat="1" ht="12.75">
      <c r="B11" s="398">
        <v>55</v>
      </c>
      <c r="C11" s="405">
        <v>65</v>
      </c>
      <c r="D11" s="406">
        <f t="shared" si="0"/>
        <v>60</v>
      </c>
      <c r="E11" s="406">
        <v>30</v>
      </c>
      <c r="F11" s="406">
        <v>15</v>
      </c>
      <c r="G11" s="407">
        <f t="shared" si="1"/>
        <v>0.17142857142857143</v>
      </c>
      <c r="H11" s="407">
        <f t="shared" si="9"/>
        <v>0.7714285714285716</v>
      </c>
      <c r="I11" s="406">
        <f t="shared" si="2"/>
        <v>1800</v>
      </c>
      <c r="J11" s="406">
        <f t="shared" si="10"/>
        <v>6050</v>
      </c>
      <c r="K11" s="408">
        <f t="shared" si="3"/>
        <v>0.6522911051212938</v>
      </c>
      <c r="L11" s="408">
        <f t="shared" si="4"/>
        <v>0.7714285714285716</v>
      </c>
      <c r="M11" s="409">
        <f t="shared" si="11"/>
        <v>0.0951867539468618</v>
      </c>
      <c r="N11" s="407">
        <f t="shared" si="5"/>
        <v>0.075</v>
      </c>
      <c r="O11" s="407">
        <f t="shared" si="12"/>
        <v>0.725</v>
      </c>
      <c r="P11" s="406">
        <f t="shared" si="6"/>
        <v>900</v>
      </c>
      <c r="Q11" s="406">
        <f t="shared" si="13"/>
        <v>5700</v>
      </c>
      <c r="R11" s="408">
        <f t="shared" si="7"/>
        <v>0.5327102803738317</v>
      </c>
      <c r="S11" s="408">
        <f t="shared" si="8"/>
        <v>0.725</v>
      </c>
      <c r="T11" s="410">
        <f t="shared" si="14"/>
        <v>0.036799065420560724</v>
      </c>
    </row>
    <row r="12" spans="2:20" s="396" customFormat="1" ht="12.75">
      <c r="B12" s="398">
        <v>65</v>
      </c>
      <c r="C12" s="405">
        <v>75</v>
      </c>
      <c r="D12" s="406">
        <f t="shared" si="0"/>
        <v>70</v>
      </c>
      <c r="E12" s="406">
        <v>20</v>
      </c>
      <c r="F12" s="406">
        <v>20</v>
      </c>
      <c r="G12" s="407">
        <f t="shared" si="1"/>
        <v>0.11428571428571428</v>
      </c>
      <c r="H12" s="407">
        <f t="shared" si="9"/>
        <v>0.8857142857142859</v>
      </c>
      <c r="I12" s="406">
        <f t="shared" si="2"/>
        <v>1400</v>
      </c>
      <c r="J12" s="406">
        <f t="shared" si="10"/>
        <v>7450</v>
      </c>
      <c r="K12" s="408">
        <f t="shared" si="3"/>
        <v>0.8032345013477089</v>
      </c>
      <c r="L12" s="408">
        <f t="shared" si="4"/>
        <v>0.8857142857142859</v>
      </c>
      <c r="M12" s="409">
        <f t="shared" si="11"/>
        <v>0.08317289179822876</v>
      </c>
      <c r="N12" s="407">
        <f t="shared" si="5"/>
        <v>0.1</v>
      </c>
      <c r="O12" s="407">
        <f t="shared" si="12"/>
        <v>0.825</v>
      </c>
      <c r="P12" s="406">
        <f t="shared" si="6"/>
        <v>1400</v>
      </c>
      <c r="Q12" s="406">
        <f t="shared" si="13"/>
        <v>7100</v>
      </c>
      <c r="R12" s="408">
        <f t="shared" si="7"/>
        <v>0.6635514018691588</v>
      </c>
      <c r="S12" s="408">
        <f t="shared" si="8"/>
        <v>0.825</v>
      </c>
      <c r="T12" s="410">
        <f t="shared" si="14"/>
        <v>0.059813084112149514</v>
      </c>
    </row>
    <row r="13" spans="2:20" s="396" customFormat="1" ht="12.75">
      <c r="B13" s="398">
        <v>75</v>
      </c>
      <c r="C13" s="405">
        <v>95</v>
      </c>
      <c r="D13" s="406">
        <f t="shared" si="0"/>
        <v>85</v>
      </c>
      <c r="E13" s="406">
        <v>15</v>
      </c>
      <c r="F13" s="406">
        <v>10</v>
      </c>
      <c r="G13" s="407">
        <f t="shared" si="1"/>
        <v>0.08571428571428572</v>
      </c>
      <c r="H13" s="407">
        <f t="shared" si="9"/>
        <v>0.9714285714285716</v>
      </c>
      <c r="I13" s="406">
        <f t="shared" si="2"/>
        <v>1275</v>
      </c>
      <c r="J13" s="406">
        <f t="shared" si="10"/>
        <v>8725</v>
      </c>
      <c r="K13" s="408">
        <f t="shared" si="3"/>
        <v>0.9407008086253369</v>
      </c>
      <c r="L13" s="408">
        <f t="shared" si="4"/>
        <v>0.9714285714285716</v>
      </c>
      <c r="M13" s="409">
        <f t="shared" si="11"/>
        <v>0.07474008471313057</v>
      </c>
      <c r="N13" s="407">
        <f t="shared" si="5"/>
        <v>0.05</v>
      </c>
      <c r="O13" s="407">
        <f t="shared" si="12"/>
        <v>0.875</v>
      </c>
      <c r="P13" s="406">
        <f t="shared" si="6"/>
        <v>850</v>
      </c>
      <c r="Q13" s="406">
        <f t="shared" si="13"/>
        <v>7950</v>
      </c>
      <c r="R13" s="408">
        <f t="shared" si="7"/>
        <v>0.7429906542056075</v>
      </c>
      <c r="S13" s="408">
        <f t="shared" si="8"/>
        <v>0.875</v>
      </c>
      <c r="T13" s="410">
        <f t="shared" si="14"/>
        <v>0.03516355140186919</v>
      </c>
    </row>
    <row r="14" spans="2:20" s="396" customFormat="1" ht="12.75">
      <c r="B14" s="398">
        <v>95</v>
      </c>
      <c r="C14" s="411">
        <v>125</v>
      </c>
      <c r="D14" s="406">
        <f t="shared" si="0"/>
        <v>110</v>
      </c>
      <c r="E14" s="412">
        <v>5</v>
      </c>
      <c r="F14" s="412">
        <v>25</v>
      </c>
      <c r="G14" s="413">
        <f t="shared" si="1"/>
        <v>0.02857142857142857</v>
      </c>
      <c r="H14" s="413">
        <f t="shared" si="9"/>
        <v>1.0000000000000002</v>
      </c>
      <c r="I14" s="412">
        <f t="shared" si="2"/>
        <v>550</v>
      </c>
      <c r="J14" s="412">
        <f t="shared" si="10"/>
        <v>9275</v>
      </c>
      <c r="K14" s="408">
        <f t="shared" si="3"/>
        <v>1</v>
      </c>
      <c r="L14" s="408">
        <f t="shared" si="4"/>
        <v>1.0000000000000002</v>
      </c>
      <c r="M14" s="409">
        <f t="shared" si="11"/>
        <v>0.027724297266076253</v>
      </c>
      <c r="N14" s="407">
        <f t="shared" si="5"/>
        <v>0.125</v>
      </c>
      <c r="O14" s="407">
        <f t="shared" si="12"/>
        <v>1</v>
      </c>
      <c r="P14" s="406">
        <f t="shared" si="6"/>
        <v>2750</v>
      </c>
      <c r="Q14" s="406">
        <f t="shared" si="13"/>
        <v>10700</v>
      </c>
      <c r="R14" s="408">
        <f t="shared" si="7"/>
        <v>1</v>
      </c>
      <c r="S14" s="408">
        <f t="shared" si="8"/>
        <v>1</v>
      </c>
      <c r="T14" s="414">
        <f t="shared" si="14"/>
        <v>0.10893691588785047</v>
      </c>
    </row>
    <row r="15" spans="2:20" s="396" customFormat="1" ht="12.75">
      <c r="B15" s="389" t="s">
        <v>1010</v>
      </c>
      <c r="C15" s="415"/>
      <c r="D15" s="416"/>
      <c r="E15" s="416">
        <f>SUM(E8:E14)</f>
        <v>175</v>
      </c>
      <c r="F15" s="416">
        <f>SUM(F8:F14)</f>
        <v>200</v>
      </c>
      <c r="G15" s="417">
        <f>SUM(G8:G14)</f>
        <v>1.0000000000000002</v>
      </c>
      <c r="H15" s="417"/>
      <c r="I15" s="416">
        <f>SUM(I8:I14)</f>
        <v>9275</v>
      </c>
      <c r="J15" s="416"/>
      <c r="K15" s="418"/>
      <c r="L15" s="418"/>
      <c r="M15" s="419">
        <f>SUM(M8:M14)</f>
        <v>0.40381209087408565</v>
      </c>
      <c r="N15" s="417">
        <f>SUM(N8:N14)</f>
        <v>1</v>
      </c>
      <c r="O15" s="417"/>
      <c r="P15" s="416">
        <f>SUM(P8:P14)</f>
        <v>10700</v>
      </c>
      <c r="Q15" s="416"/>
      <c r="R15" s="418"/>
      <c r="S15" s="418"/>
      <c r="T15" s="419">
        <f>SUM(T8:T14)</f>
        <v>0.374357476635514</v>
      </c>
    </row>
    <row r="16" spans="2:18" ht="12.75">
      <c r="B16" s="1"/>
      <c r="G16" s="25"/>
      <c r="H16" s="25"/>
      <c r="K16" s="25"/>
      <c r="L16" s="25"/>
      <c r="R16" s="25"/>
    </row>
    <row r="17" spans="12:20" ht="12.75">
      <c r="L17" s="107" t="s">
        <v>1011</v>
      </c>
      <c r="M17" s="420">
        <f>2*(0.5-M15)</f>
        <v>0.1923758182518287</v>
      </c>
      <c r="S17" s="107" t="s">
        <v>1012</v>
      </c>
      <c r="T17" s="420">
        <f>2*(0.5-T15)</f>
        <v>0.251285046728972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"/>
    </sheetView>
  </sheetViews>
  <sheetFormatPr defaultColWidth="11.421875" defaultRowHeight="12.75"/>
  <sheetData>
    <row r="1" ht="12.75">
      <c r="B1" s="1"/>
    </row>
    <row r="2" spans="1:5" ht="12.75">
      <c r="A2" s="1"/>
      <c r="B2" s="1"/>
      <c r="C2" s="385" t="s">
        <v>994</v>
      </c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"/>
      <c r="B4" s="385" t="s">
        <v>995</v>
      </c>
      <c r="D4" s="1"/>
      <c r="E4" s="1"/>
    </row>
    <row r="5" ht="12.75">
      <c r="B5" s="1"/>
    </row>
    <row r="6" spans="1:5" ht="12.75">
      <c r="A6" s="388"/>
      <c r="B6" s="389" t="s">
        <v>726</v>
      </c>
      <c r="C6" s="390" t="s">
        <v>727</v>
      </c>
      <c r="D6" s="391" t="s">
        <v>997</v>
      </c>
      <c r="E6" s="421" t="s">
        <v>998</v>
      </c>
    </row>
    <row r="7" spans="1:5" ht="12.75">
      <c r="A7" s="397"/>
      <c r="B7" s="398">
        <v>0</v>
      </c>
      <c r="C7" s="399">
        <v>25</v>
      </c>
      <c r="D7" s="400">
        <v>0</v>
      </c>
      <c r="E7" s="422"/>
    </row>
    <row r="8" spans="1:5" ht="12.75">
      <c r="A8" s="396"/>
      <c r="B8" s="398">
        <v>25</v>
      </c>
      <c r="C8" s="405">
        <v>35</v>
      </c>
      <c r="D8" s="406">
        <v>30</v>
      </c>
      <c r="E8" s="423">
        <v>50</v>
      </c>
    </row>
    <row r="9" spans="1:5" ht="12.75">
      <c r="A9" s="396"/>
      <c r="B9" s="398">
        <v>35</v>
      </c>
      <c r="C9" s="405">
        <v>45</v>
      </c>
      <c r="D9" s="406">
        <v>40</v>
      </c>
      <c r="E9" s="423">
        <v>70</v>
      </c>
    </row>
    <row r="10" spans="1:5" ht="12.75">
      <c r="A10" s="396"/>
      <c r="B10" s="398">
        <v>45</v>
      </c>
      <c r="C10" s="405">
        <v>55</v>
      </c>
      <c r="D10" s="406">
        <v>35</v>
      </c>
      <c r="E10" s="423">
        <v>10</v>
      </c>
    </row>
    <row r="11" spans="1:5" ht="12.75">
      <c r="A11" s="396"/>
      <c r="B11" s="398">
        <v>55</v>
      </c>
      <c r="C11" s="405">
        <v>65</v>
      </c>
      <c r="D11" s="406">
        <v>30</v>
      </c>
      <c r="E11" s="423">
        <v>15</v>
      </c>
    </row>
    <row r="12" spans="1:5" ht="12.75">
      <c r="A12" s="396"/>
      <c r="B12" s="398">
        <v>65</v>
      </c>
      <c r="C12" s="405">
        <v>75</v>
      </c>
      <c r="D12" s="406">
        <v>20</v>
      </c>
      <c r="E12" s="423">
        <v>20</v>
      </c>
    </row>
    <row r="13" spans="1:5" ht="12.75">
      <c r="A13" s="396"/>
      <c r="B13" s="398">
        <v>75</v>
      </c>
      <c r="C13" s="405">
        <v>95</v>
      </c>
      <c r="D13" s="406">
        <v>15</v>
      </c>
      <c r="E13" s="423">
        <v>10</v>
      </c>
    </row>
    <row r="14" spans="1:5" ht="12.75">
      <c r="A14" s="396"/>
      <c r="B14" s="398">
        <v>95</v>
      </c>
      <c r="C14" s="411">
        <v>125</v>
      </c>
      <c r="D14" s="412">
        <v>5</v>
      </c>
      <c r="E14" s="424">
        <v>25</v>
      </c>
    </row>
    <row r="15" spans="1:5" ht="12.75">
      <c r="A15" s="396"/>
      <c r="B15" s="389" t="s">
        <v>1010</v>
      </c>
      <c r="C15" s="415"/>
      <c r="D15" s="416"/>
      <c r="E15" s="425"/>
    </row>
    <row r="16" ht="12.75">
      <c r="B16" s="1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L98"/>
  <sheetViews>
    <sheetView workbookViewId="0" topLeftCell="A1">
      <selection activeCell="A1" sqref="A1"/>
    </sheetView>
  </sheetViews>
  <sheetFormatPr defaultColWidth="11.421875" defaultRowHeight="12.75"/>
  <sheetData>
    <row r="2" spans="1:4" ht="12.75">
      <c r="A2" s="2"/>
      <c r="D2" s="204" t="s">
        <v>1013</v>
      </c>
    </row>
    <row r="3" ht="12.75">
      <c r="A3" s="2"/>
    </row>
    <row r="4" ht="12.75">
      <c r="A4" s="2"/>
    </row>
    <row r="5" spans="1:2" ht="12.75">
      <c r="A5" s="2"/>
      <c r="B5" t="s">
        <v>1014</v>
      </c>
    </row>
    <row r="6" ht="12.75">
      <c r="A6" s="2"/>
    </row>
    <row r="7" ht="12.75">
      <c r="A7" s="2"/>
    </row>
    <row r="8" spans="1:2" ht="12.75">
      <c r="A8" s="2" t="s">
        <v>1015</v>
      </c>
      <c r="B8" t="s">
        <v>1016</v>
      </c>
    </row>
    <row r="9" spans="1:2" ht="12.75">
      <c r="A9" s="2"/>
      <c r="B9" t="s">
        <v>1017</v>
      </c>
    </row>
    <row r="10" spans="1:2" ht="12.75">
      <c r="A10" s="2"/>
      <c r="B10" t="s">
        <v>1018</v>
      </c>
    </row>
    <row r="11" ht="12.75">
      <c r="A11" s="2"/>
    </row>
    <row r="12" ht="12.75">
      <c r="A12" s="2"/>
    </row>
    <row r="13" ht="12.75">
      <c r="A13" s="2"/>
    </row>
    <row r="14" spans="1:2" ht="12.75">
      <c r="A14" s="2" t="s">
        <v>1019</v>
      </c>
      <c r="B14" t="s">
        <v>1020</v>
      </c>
    </row>
    <row r="15" spans="1:2" ht="12.75">
      <c r="A15" s="2"/>
      <c r="B15" t="s">
        <v>1021</v>
      </c>
    </row>
    <row r="16" ht="12.75">
      <c r="A16" s="2"/>
    </row>
    <row r="17" spans="1:12" ht="12.75">
      <c r="A17" s="2"/>
      <c r="B17" s="426" t="s">
        <v>936</v>
      </c>
      <c r="C17" s="427" t="s">
        <v>1022</v>
      </c>
      <c r="D17" s="29" t="s">
        <v>1023</v>
      </c>
      <c r="E17" s="29" t="s">
        <v>1024</v>
      </c>
      <c r="F17" s="48" t="s">
        <v>1025</v>
      </c>
      <c r="G17" s="2"/>
      <c r="H17" s="2"/>
      <c r="I17" s="2"/>
      <c r="J17" s="2"/>
      <c r="K17" s="2"/>
      <c r="L17" s="2"/>
    </row>
    <row r="18" spans="1:6" ht="12.75">
      <c r="A18" s="2"/>
      <c r="B18" s="428" t="s">
        <v>1026</v>
      </c>
      <c r="C18" s="429">
        <v>1</v>
      </c>
      <c r="D18" s="11">
        <v>0.8</v>
      </c>
      <c r="E18" s="11">
        <v>0.9</v>
      </c>
      <c r="F18" s="53">
        <v>1</v>
      </c>
    </row>
    <row r="19" spans="1:6" ht="12.75">
      <c r="A19" s="2"/>
      <c r="B19" s="430" t="s">
        <v>1027</v>
      </c>
      <c r="C19" s="343">
        <v>0.45</v>
      </c>
      <c r="D19" s="14">
        <v>9</v>
      </c>
      <c r="E19" s="14">
        <v>10</v>
      </c>
      <c r="F19" s="54">
        <v>13</v>
      </c>
    </row>
    <row r="20" spans="1:6" ht="12.75">
      <c r="A20" s="2"/>
      <c r="B20" s="430" t="s">
        <v>1028</v>
      </c>
      <c r="C20" s="343">
        <v>0.8</v>
      </c>
      <c r="D20" s="14">
        <v>2</v>
      </c>
      <c r="E20" s="14">
        <v>2.5</v>
      </c>
      <c r="F20" s="54">
        <v>3</v>
      </c>
    </row>
    <row r="21" spans="1:6" ht="12.75">
      <c r="A21" s="2"/>
      <c r="B21" s="430" t="s">
        <v>1029</v>
      </c>
      <c r="C21" s="343">
        <v>0.6</v>
      </c>
      <c r="D21" s="14">
        <v>3</v>
      </c>
      <c r="E21" s="14">
        <v>4</v>
      </c>
      <c r="F21" s="54">
        <v>4.5</v>
      </c>
    </row>
    <row r="22" spans="1:6" ht="12.75">
      <c r="A22" s="2"/>
      <c r="B22" s="430" t="s">
        <v>1030</v>
      </c>
      <c r="C22" s="343">
        <v>0.5</v>
      </c>
      <c r="D22" s="14">
        <v>1.5</v>
      </c>
      <c r="E22" s="14">
        <v>1.8</v>
      </c>
      <c r="F22" s="54">
        <v>2.5</v>
      </c>
    </row>
    <row r="23" spans="1:6" ht="12.75">
      <c r="A23" s="2"/>
      <c r="B23" s="431" t="s">
        <v>952</v>
      </c>
      <c r="C23" s="432">
        <v>0.3</v>
      </c>
      <c r="D23" s="41">
        <v>0.5</v>
      </c>
      <c r="E23" s="41">
        <v>0.6</v>
      </c>
      <c r="F23" s="56">
        <v>0.8</v>
      </c>
    </row>
    <row r="24" ht="12.75">
      <c r="A24" s="2"/>
    </row>
    <row r="25" spans="1:2" ht="12.75">
      <c r="A25" s="2"/>
      <c r="B25" t="s">
        <v>1031</v>
      </c>
    </row>
    <row r="26" spans="1:2" ht="12.75">
      <c r="A26" s="2"/>
      <c r="B26" t="s">
        <v>1032</v>
      </c>
    </row>
    <row r="27" spans="1:2" ht="12.75">
      <c r="A27" s="2"/>
      <c r="B27" t="s">
        <v>1033</v>
      </c>
    </row>
    <row r="28" ht="12.75">
      <c r="A28" s="2"/>
    </row>
    <row r="29" ht="12.75">
      <c r="A29" s="2"/>
    </row>
    <row r="30" ht="12.75">
      <c r="A30" s="2"/>
    </row>
    <row r="31" spans="1:2" ht="12.75">
      <c r="A31" s="2" t="s">
        <v>1034</v>
      </c>
      <c r="B31" t="s">
        <v>1035</v>
      </c>
    </row>
    <row r="32" ht="12.75">
      <c r="A32" s="2"/>
    </row>
    <row r="33" spans="1:4" ht="12.75">
      <c r="A33" s="2"/>
      <c r="C33" t="s">
        <v>1036</v>
      </c>
      <c r="D33" t="s">
        <v>1037</v>
      </c>
    </row>
    <row r="34" spans="1:4" ht="12.75">
      <c r="A34" s="2"/>
      <c r="C34" t="s">
        <v>1038</v>
      </c>
      <c r="D34" t="s">
        <v>1039</v>
      </c>
    </row>
    <row r="35" spans="1:4" ht="12.75">
      <c r="A35" s="2"/>
      <c r="C35" t="s">
        <v>1040</v>
      </c>
      <c r="D35" t="s">
        <v>1041</v>
      </c>
    </row>
    <row r="36" spans="1:4" ht="12.75">
      <c r="A36" s="2"/>
      <c r="C36" t="s">
        <v>1042</v>
      </c>
      <c r="D36" t="s">
        <v>1043</v>
      </c>
    </row>
    <row r="37" ht="12.75">
      <c r="A37" s="2"/>
    </row>
    <row r="38" spans="1:12" ht="12.75">
      <c r="A38" s="2"/>
      <c r="B38" s="433" t="s">
        <v>1036</v>
      </c>
      <c r="C38" s="67" t="s">
        <v>1038</v>
      </c>
      <c r="D38" s="67" t="s">
        <v>1040</v>
      </c>
      <c r="E38" s="46" t="s">
        <v>1042</v>
      </c>
      <c r="F38" s="2"/>
      <c r="G38" s="2"/>
      <c r="H38" s="2"/>
      <c r="I38" s="2"/>
      <c r="J38" s="2"/>
      <c r="K38" s="2"/>
      <c r="L38" s="2"/>
    </row>
    <row r="39" spans="1:5" ht="12.75">
      <c r="A39" s="2"/>
      <c r="B39" s="434">
        <v>2249</v>
      </c>
      <c r="C39" s="68">
        <v>0</v>
      </c>
      <c r="D39" s="68">
        <v>10</v>
      </c>
      <c r="E39" s="51">
        <v>43</v>
      </c>
    </row>
    <row r="40" spans="1:5" ht="12.75">
      <c r="A40" s="2"/>
      <c r="B40" s="343">
        <v>1374</v>
      </c>
      <c r="C40" s="14">
        <v>0</v>
      </c>
      <c r="D40" s="14">
        <v>12</v>
      </c>
      <c r="E40" s="54">
        <v>38</v>
      </c>
    </row>
    <row r="41" spans="1:5" ht="12.75">
      <c r="A41" s="2"/>
      <c r="B41" s="343">
        <v>3749</v>
      </c>
      <c r="C41" s="14">
        <v>0</v>
      </c>
      <c r="D41" s="14">
        <v>12</v>
      </c>
      <c r="E41" s="54">
        <v>58</v>
      </c>
    </row>
    <row r="42" spans="1:5" ht="12.75">
      <c r="A42" s="2"/>
      <c r="B42" s="343">
        <v>3749</v>
      </c>
      <c r="C42" s="14">
        <v>0</v>
      </c>
      <c r="D42" s="14">
        <v>14</v>
      </c>
      <c r="E42" s="54">
        <v>42</v>
      </c>
    </row>
    <row r="43" spans="1:5" ht="12.75">
      <c r="A43" s="2"/>
      <c r="B43" s="343">
        <v>2750</v>
      </c>
      <c r="C43" s="14">
        <v>0</v>
      </c>
      <c r="D43" s="14">
        <v>8</v>
      </c>
      <c r="E43" s="54">
        <v>56</v>
      </c>
    </row>
    <row r="44" spans="1:5" ht="12.75">
      <c r="A44" s="2"/>
      <c r="B44" s="343">
        <v>6243</v>
      </c>
      <c r="C44" s="14">
        <v>0</v>
      </c>
      <c r="D44" s="14">
        <v>17</v>
      </c>
      <c r="E44" s="54">
        <v>41</v>
      </c>
    </row>
    <row r="45" spans="1:5" ht="12.75">
      <c r="A45" s="2"/>
      <c r="B45" s="343">
        <v>5099</v>
      </c>
      <c r="C45" s="14">
        <v>0</v>
      </c>
      <c r="D45" s="14">
        <v>17</v>
      </c>
      <c r="E45" s="54">
        <v>26</v>
      </c>
    </row>
    <row r="46" spans="1:5" ht="12.75">
      <c r="A46" s="2"/>
      <c r="B46" s="343">
        <v>6250</v>
      </c>
      <c r="C46" s="14">
        <v>0</v>
      </c>
      <c r="D46" s="14">
        <v>14</v>
      </c>
      <c r="E46" s="54">
        <v>24</v>
      </c>
    </row>
    <row r="47" spans="1:5" ht="12.75">
      <c r="A47" s="2"/>
      <c r="B47" s="343">
        <v>3494</v>
      </c>
      <c r="C47" s="14">
        <v>0</v>
      </c>
      <c r="D47" s="14">
        <v>14</v>
      </c>
      <c r="E47" s="54">
        <v>34</v>
      </c>
    </row>
    <row r="48" spans="1:5" ht="12.75">
      <c r="A48" s="2"/>
      <c r="B48" s="343">
        <v>875</v>
      </c>
      <c r="C48" s="14">
        <v>0</v>
      </c>
      <c r="D48" s="14">
        <v>12</v>
      </c>
      <c r="E48" s="54">
        <v>53</v>
      </c>
    </row>
    <row r="49" spans="1:5" ht="12.75">
      <c r="A49" s="2"/>
      <c r="B49" s="343">
        <v>4000</v>
      </c>
      <c r="C49" s="14">
        <v>0</v>
      </c>
      <c r="D49" s="14">
        <v>12</v>
      </c>
      <c r="E49" s="54">
        <v>30</v>
      </c>
    </row>
    <row r="50" spans="1:5" ht="12.75">
      <c r="A50" s="2"/>
      <c r="B50" s="343">
        <v>1249</v>
      </c>
      <c r="C50" s="14">
        <v>0</v>
      </c>
      <c r="D50" s="14">
        <v>14</v>
      </c>
      <c r="E50" s="54">
        <v>20</v>
      </c>
    </row>
    <row r="51" spans="1:5" ht="12.75">
      <c r="A51" s="2"/>
      <c r="B51" s="343">
        <v>2500</v>
      </c>
      <c r="C51" s="14">
        <v>0</v>
      </c>
      <c r="D51" s="14">
        <v>16</v>
      </c>
      <c r="E51" s="54">
        <v>29</v>
      </c>
    </row>
    <row r="52" spans="1:5" ht="12.75">
      <c r="A52" s="2"/>
      <c r="B52" s="343">
        <v>3749</v>
      </c>
      <c r="C52" s="14">
        <v>0</v>
      </c>
      <c r="D52" s="14">
        <v>16</v>
      </c>
      <c r="E52" s="54">
        <v>48</v>
      </c>
    </row>
    <row r="53" spans="1:5" ht="12.75">
      <c r="A53" s="2"/>
      <c r="B53" s="343">
        <v>1457</v>
      </c>
      <c r="C53" s="14">
        <v>0</v>
      </c>
      <c r="D53" s="14">
        <v>13</v>
      </c>
      <c r="E53" s="54">
        <v>22</v>
      </c>
    </row>
    <row r="54" spans="1:5" ht="12.75">
      <c r="A54" s="2"/>
      <c r="B54" s="343">
        <v>2275</v>
      </c>
      <c r="C54" s="14">
        <v>0</v>
      </c>
      <c r="D54" s="14">
        <v>13</v>
      </c>
      <c r="E54" s="54">
        <v>35</v>
      </c>
    </row>
    <row r="55" spans="1:5" ht="12.75">
      <c r="A55" s="2"/>
      <c r="B55" s="343">
        <v>3249</v>
      </c>
      <c r="C55" s="14">
        <v>0</v>
      </c>
      <c r="D55" s="14">
        <v>12</v>
      </c>
      <c r="E55" s="54">
        <v>43</v>
      </c>
    </row>
    <row r="56" spans="1:5" ht="12.75">
      <c r="A56" s="2"/>
      <c r="B56" s="343">
        <v>1968</v>
      </c>
      <c r="C56" s="14">
        <v>0</v>
      </c>
      <c r="D56" s="14">
        <v>16</v>
      </c>
      <c r="E56" s="54">
        <v>39</v>
      </c>
    </row>
    <row r="57" spans="1:5" ht="12.75">
      <c r="A57" s="2"/>
      <c r="B57" s="343">
        <v>2500</v>
      </c>
      <c r="C57" s="14">
        <v>0</v>
      </c>
      <c r="D57" s="14">
        <v>14</v>
      </c>
      <c r="E57" s="54">
        <v>42</v>
      </c>
    </row>
    <row r="58" spans="1:5" ht="12.75">
      <c r="A58" s="2"/>
      <c r="B58" s="343">
        <v>3437</v>
      </c>
      <c r="C58" s="14">
        <v>0</v>
      </c>
      <c r="D58" s="14">
        <v>14</v>
      </c>
      <c r="E58" s="54">
        <v>41</v>
      </c>
    </row>
    <row r="59" spans="1:5" ht="12.75">
      <c r="A59" s="2"/>
      <c r="B59" s="343">
        <v>2916</v>
      </c>
      <c r="C59" s="14">
        <v>1</v>
      </c>
      <c r="D59" s="14">
        <v>12</v>
      </c>
      <c r="E59" s="54">
        <v>61</v>
      </c>
    </row>
    <row r="60" spans="1:5" ht="12.75">
      <c r="A60" s="2"/>
      <c r="B60" s="343">
        <v>2221</v>
      </c>
      <c r="C60" s="14">
        <v>1</v>
      </c>
      <c r="D60" s="14">
        <v>8</v>
      </c>
      <c r="E60" s="54">
        <v>43</v>
      </c>
    </row>
    <row r="61" spans="1:5" ht="12.75">
      <c r="A61" s="2"/>
      <c r="B61" s="343">
        <v>1374</v>
      </c>
      <c r="C61" s="14">
        <v>1</v>
      </c>
      <c r="D61" s="14">
        <v>12</v>
      </c>
      <c r="E61" s="54">
        <v>39</v>
      </c>
    </row>
    <row r="62" spans="1:5" ht="12.75">
      <c r="A62" s="2"/>
      <c r="B62" s="343">
        <v>2702</v>
      </c>
      <c r="C62" s="14">
        <v>1</v>
      </c>
      <c r="D62" s="14">
        <v>12</v>
      </c>
      <c r="E62" s="54">
        <v>58</v>
      </c>
    </row>
    <row r="63" spans="1:5" ht="12.75">
      <c r="A63" s="2"/>
      <c r="B63" s="343">
        <v>1350</v>
      </c>
      <c r="C63" s="14">
        <v>1</v>
      </c>
      <c r="D63" s="14">
        <v>16</v>
      </c>
      <c r="E63" s="54">
        <v>32</v>
      </c>
    </row>
    <row r="64" spans="1:5" ht="12.75">
      <c r="A64" s="2"/>
      <c r="B64" s="343">
        <v>1874</v>
      </c>
      <c r="C64" s="14">
        <v>1</v>
      </c>
      <c r="D64" s="14">
        <v>12</v>
      </c>
      <c r="E64" s="54">
        <v>28</v>
      </c>
    </row>
    <row r="65" spans="1:5" ht="12.75">
      <c r="A65" s="2"/>
      <c r="B65" s="343">
        <v>2500</v>
      </c>
      <c r="C65" s="14">
        <v>1</v>
      </c>
      <c r="D65" s="14">
        <v>10</v>
      </c>
      <c r="E65" s="54">
        <v>41</v>
      </c>
    </row>
    <row r="66" spans="1:5" ht="12.75">
      <c r="A66" s="2"/>
      <c r="B66" s="343">
        <v>3571</v>
      </c>
      <c r="C66" s="14">
        <v>1</v>
      </c>
      <c r="D66" s="14">
        <v>14</v>
      </c>
      <c r="E66" s="54">
        <v>52</v>
      </c>
    </row>
    <row r="67" spans="1:5" ht="12.75">
      <c r="A67" s="2"/>
      <c r="B67" s="343">
        <v>2437</v>
      </c>
      <c r="C67" s="14">
        <v>1</v>
      </c>
      <c r="D67" s="14">
        <v>15</v>
      </c>
      <c r="E67" s="54">
        <v>30</v>
      </c>
    </row>
    <row r="68" spans="1:5" ht="12.75">
      <c r="A68" s="2"/>
      <c r="B68" s="343">
        <v>837</v>
      </c>
      <c r="C68" s="14">
        <v>1</v>
      </c>
      <c r="D68" s="14">
        <v>12</v>
      </c>
      <c r="E68" s="54">
        <v>18</v>
      </c>
    </row>
    <row r="69" spans="1:5" ht="12.75">
      <c r="A69" s="2"/>
      <c r="B69" s="343">
        <v>850</v>
      </c>
      <c r="C69" s="14">
        <v>1</v>
      </c>
      <c r="D69" s="14">
        <v>8</v>
      </c>
      <c r="E69" s="54">
        <v>63</v>
      </c>
    </row>
    <row r="70" spans="1:5" ht="12.75">
      <c r="A70" s="2"/>
      <c r="B70" s="343">
        <v>1406</v>
      </c>
      <c r="C70" s="14">
        <v>1</v>
      </c>
      <c r="D70" s="14">
        <v>14</v>
      </c>
      <c r="E70" s="54">
        <v>52</v>
      </c>
    </row>
    <row r="71" spans="1:5" ht="12.75">
      <c r="A71" s="2"/>
      <c r="B71" s="343">
        <v>2500</v>
      </c>
      <c r="C71" s="14">
        <v>1</v>
      </c>
      <c r="D71" s="14">
        <v>16</v>
      </c>
      <c r="E71" s="54">
        <v>32</v>
      </c>
    </row>
    <row r="72" spans="1:5" ht="12.75">
      <c r="A72" s="2"/>
      <c r="B72" s="343">
        <v>1525</v>
      </c>
      <c r="C72" s="14">
        <v>1</v>
      </c>
      <c r="D72" s="14">
        <v>10</v>
      </c>
      <c r="E72" s="54">
        <v>60</v>
      </c>
    </row>
    <row r="73" spans="1:5" ht="12.75">
      <c r="A73" s="2"/>
      <c r="B73" s="343">
        <v>1042</v>
      </c>
      <c r="C73" s="14">
        <v>1</v>
      </c>
      <c r="D73" s="14">
        <v>12</v>
      </c>
      <c r="E73" s="54">
        <v>45</v>
      </c>
    </row>
    <row r="74" spans="1:5" ht="12.75">
      <c r="A74" s="2"/>
      <c r="B74" s="343">
        <v>1199</v>
      </c>
      <c r="C74" s="14">
        <v>1</v>
      </c>
      <c r="D74" s="14">
        <v>12</v>
      </c>
      <c r="E74" s="54">
        <v>34</v>
      </c>
    </row>
    <row r="75" spans="1:5" ht="12.75">
      <c r="A75" s="2"/>
      <c r="B75" s="343">
        <v>1312</v>
      </c>
      <c r="C75" s="14">
        <v>1</v>
      </c>
      <c r="D75" s="14">
        <v>12</v>
      </c>
      <c r="E75" s="54">
        <v>26</v>
      </c>
    </row>
    <row r="76" spans="1:5" ht="12.75">
      <c r="A76" s="2"/>
      <c r="B76" s="343">
        <v>1237</v>
      </c>
      <c r="C76" s="14">
        <v>1</v>
      </c>
      <c r="D76" s="14">
        <v>9</v>
      </c>
      <c r="E76" s="54">
        <v>57</v>
      </c>
    </row>
    <row r="77" spans="1:5" ht="12.75">
      <c r="A77" s="2"/>
      <c r="B77" s="343">
        <v>4843</v>
      </c>
      <c r="C77" s="14">
        <v>1</v>
      </c>
      <c r="D77" s="14">
        <v>16</v>
      </c>
      <c r="E77" s="54">
        <v>33</v>
      </c>
    </row>
    <row r="78" spans="1:5" ht="12.75">
      <c r="A78" s="2"/>
      <c r="B78" s="432">
        <v>1249</v>
      </c>
      <c r="C78" s="41">
        <v>1</v>
      </c>
      <c r="D78" s="41">
        <v>12</v>
      </c>
      <c r="E78" s="56">
        <v>18</v>
      </c>
    </row>
    <row r="79" ht="12.75">
      <c r="A79" s="2"/>
    </row>
    <row r="80" spans="1:2" ht="12.75">
      <c r="A80" s="2"/>
      <c r="B80" t="s">
        <v>1044</v>
      </c>
    </row>
    <row r="81" spans="1:2" ht="12.75">
      <c r="A81" s="2"/>
      <c r="B81" t="s">
        <v>1045</v>
      </c>
    </row>
    <row r="82" spans="1:2" ht="12.75">
      <c r="A82" s="2"/>
      <c r="B82" t="s">
        <v>0</v>
      </c>
    </row>
    <row r="83" spans="1:2" ht="12.75">
      <c r="A83" s="2"/>
      <c r="B83" t="s">
        <v>1</v>
      </c>
    </row>
    <row r="84" spans="1:2" ht="12.75">
      <c r="A84" s="2"/>
      <c r="B84" t="s">
        <v>2</v>
      </c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K101"/>
  <sheetViews>
    <sheetView workbookViewId="0" topLeftCell="A1">
      <selection activeCell="A1" sqref="A1"/>
    </sheetView>
  </sheetViews>
  <sheetFormatPr defaultColWidth="11.421875" defaultRowHeight="12.75"/>
  <sheetData>
    <row r="2" spans="1:11" ht="12.75">
      <c r="A2" s="2"/>
      <c r="B2" s="1"/>
      <c r="C2" s="204" t="s">
        <v>3</v>
      </c>
      <c r="D2" s="1"/>
      <c r="E2" s="1"/>
      <c r="F2" s="1"/>
      <c r="G2" s="1"/>
      <c r="H2" s="1"/>
      <c r="I2" s="1"/>
      <c r="J2" s="1"/>
      <c r="K2" s="1"/>
    </row>
    <row r="3" ht="12.75">
      <c r="A3" s="2"/>
    </row>
    <row r="4" ht="12.75">
      <c r="A4" s="2"/>
    </row>
    <row r="5" spans="1:2" ht="12.75">
      <c r="A5" s="2" t="s">
        <v>1015</v>
      </c>
      <c r="B5" t="s">
        <v>4</v>
      </c>
    </row>
    <row r="6" spans="1:2" ht="12.75">
      <c r="A6" s="2"/>
      <c r="B6" t="s">
        <v>5</v>
      </c>
    </row>
    <row r="7" spans="1:2" ht="12.75">
      <c r="A7" s="2"/>
      <c r="B7" t="s">
        <v>6</v>
      </c>
    </row>
    <row r="8" ht="12.75">
      <c r="A8" s="2"/>
    </row>
    <row r="9" ht="12.75">
      <c r="A9" s="2"/>
    </row>
    <row r="10" spans="1:11" ht="12.75">
      <c r="A10" s="2" t="s">
        <v>7</v>
      </c>
      <c r="B10" s="426" t="s">
        <v>936</v>
      </c>
      <c r="C10" s="427" t="s">
        <v>1022</v>
      </c>
      <c r="D10" s="29" t="s">
        <v>1023</v>
      </c>
      <c r="E10" s="29" t="s">
        <v>1024</v>
      </c>
      <c r="F10" s="29" t="s">
        <v>1025</v>
      </c>
      <c r="G10" s="30" t="s">
        <v>8</v>
      </c>
      <c r="H10" s="427" t="s">
        <v>9</v>
      </c>
      <c r="I10" s="48" t="s">
        <v>10</v>
      </c>
      <c r="J10" s="2"/>
      <c r="K10" s="2"/>
    </row>
    <row r="11" spans="1:9" ht="12.75">
      <c r="A11" s="2"/>
      <c r="B11" s="435" t="s">
        <v>1026</v>
      </c>
      <c r="C11" s="429">
        <v>1</v>
      </c>
      <c r="D11" s="11">
        <v>0.8</v>
      </c>
      <c r="E11" s="11">
        <v>0.9</v>
      </c>
      <c r="F11" s="11">
        <v>1</v>
      </c>
      <c r="G11" s="33">
        <f aca="true" t="shared" si="0" ref="G11:G16">D11*C11</f>
        <v>0.8</v>
      </c>
      <c r="H11" s="429">
        <f aca="true" t="shared" si="1" ref="H11:H16">E11*C11</f>
        <v>0.9</v>
      </c>
      <c r="I11" s="53">
        <f aca="true" t="shared" si="2" ref="I11:I16">F11*C11</f>
        <v>1</v>
      </c>
    </row>
    <row r="12" spans="1:9" ht="12.75">
      <c r="A12" s="2"/>
      <c r="B12" s="435" t="s">
        <v>1027</v>
      </c>
      <c r="C12" s="343">
        <v>0.45</v>
      </c>
      <c r="D12" s="14">
        <v>9</v>
      </c>
      <c r="E12" s="14">
        <v>10</v>
      </c>
      <c r="F12" s="14">
        <v>13</v>
      </c>
      <c r="G12" s="37">
        <f t="shared" si="0"/>
        <v>4.05</v>
      </c>
      <c r="H12" s="343">
        <f t="shared" si="1"/>
        <v>4.5</v>
      </c>
      <c r="I12" s="54">
        <f t="shared" si="2"/>
        <v>5.8500000000000005</v>
      </c>
    </row>
    <row r="13" spans="1:9" ht="12.75">
      <c r="A13" s="2"/>
      <c r="B13" s="435" t="s">
        <v>1028</v>
      </c>
      <c r="C13" s="343">
        <v>0.8</v>
      </c>
      <c r="D13" s="14">
        <v>2</v>
      </c>
      <c r="E13" s="14">
        <v>2.5</v>
      </c>
      <c r="F13" s="14">
        <v>3</v>
      </c>
      <c r="G13" s="37">
        <f t="shared" si="0"/>
        <v>1.6</v>
      </c>
      <c r="H13" s="343">
        <f t="shared" si="1"/>
        <v>2</v>
      </c>
      <c r="I13" s="54">
        <f t="shared" si="2"/>
        <v>2.4000000000000004</v>
      </c>
    </row>
    <row r="14" spans="1:9" ht="12.75">
      <c r="A14" s="2"/>
      <c r="B14" s="435" t="s">
        <v>1029</v>
      </c>
      <c r="C14" s="343">
        <v>0.6</v>
      </c>
      <c r="D14" s="14">
        <v>3</v>
      </c>
      <c r="E14" s="14">
        <v>4</v>
      </c>
      <c r="F14" s="14">
        <v>4.5</v>
      </c>
      <c r="G14" s="37">
        <f t="shared" si="0"/>
        <v>1.7999999999999998</v>
      </c>
      <c r="H14" s="343">
        <f t="shared" si="1"/>
        <v>2.4</v>
      </c>
      <c r="I14" s="54">
        <f t="shared" si="2"/>
        <v>2.6999999999999997</v>
      </c>
    </row>
    <row r="15" spans="1:9" ht="12.75">
      <c r="A15" s="2"/>
      <c r="B15" s="435" t="s">
        <v>1030</v>
      </c>
      <c r="C15" s="343">
        <v>0.5</v>
      </c>
      <c r="D15" s="14">
        <v>1.5</v>
      </c>
      <c r="E15" s="14">
        <v>1.8</v>
      </c>
      <c r="F15" s="14">
        <v>2.5</v>
      </c>
      <c r="G15" s="37">
        <f t="shared" si="0"/>
        <v>0.75</v>
      </c>
      <c r="H15" s="343">
        <f t="shared" si="1"/>
        <v>0.9</v>
      </c>
      <c r="I15" s="54">
        <f t="shared" si="2"/>
        <v>1.25</v>
      </c>
    </row>
    <row r="16" spans="1:9" ht="12.75">
      <c r="A16" s="2"/>
      <c r="B16" s="435" t="s">
        <v>952</v>
      </c>
      <c r="C16" s="436">
        <v>0.3</v>
      </c>
      <c r="D16" s="17">
        <v>0.5</v>
      </c>
      <c r="E16" s="17">
        <v>0.6</v>
      </c>
      <c r="F16" s="17">
        <v>0.8</v>
      </c>
      <c r="G16" s="437">
        <f t="shared" si="0"/>
        <v>0.15</v>
      </c>
      <c r="H16" s="436">
        <f t="shared" si="1"/>
        <v>0.18</v>
      </c>
      <c r="I16" s="59">
        <f t="shared" si="2"/>
        <v>0.24</v>
      </c>
    </row>
    <row r="17" spans="1:9" ht="12.75">
      <c r="A17" s="2"/>
      <c r="B17" s="426" t="s">
        <v>633</v>
      </c>
      <c r="C17" s="20"/>
      <c r="D17" s="64"/>
      <c r="E17" s="64"/>
      <c r="F17" s="64"/>
      <c r="G17" s="438">
        <f>SUM(G11:G16)</f>
        <v>9.15</v>
      </c>
      <c r="H17" s="20">
        <f>SUM(H11:H16)</f>
        <v>10.88</v>
      </c>
      <c r="I17" s="24">
        <f>SUM(I11:I16)</f>
        <v>13.44</v>
      </c>
    </row>
    <row r="18" ht="12.75">
      <c r="A18" s="2"/>
    </row>
    <row r="19" spans="1:11" ht="12.75">
      <c r="A19" s="2"/>
      <c r="B19" t="s">
        <v>11</v>
      </c>
      <c r="K19" s="273"/>
    </row>
    <row r="20" spans="1:2" ht="12.75">
      <c r="A20" s="2"/>
      <c r="B20" t="s">
        <v>12</v>
      </c>
    </row>
    <row r="21" ht="12.75">
      <c r="A21" s="2"/>
    </row>
    <row r="22" spans="1:2" ht="12.75">
      <c r="A22" s="2" t="s">
        <v>13</v>
      </c>
      <c r="B22" t="s">
        <v>14</v>
      </c>
    </row>
    <row r="23" ht="12.75">
      <c r="A23" s="2"/>
    </row>
    <row r="24" spans="1:2" ht="12.75">
      <c r="A24" s="2" t="s">
        <v>15</v>
      </c>
      <c r="B24" t="s">
        <v>16</v>
      </c>
    </row>
    <row r="25" ht="12.75">
      <c r="A25" s="2"/>
    </row>
    <row r="26" ht="12.75">
      <c r="A26" s="2"/>
    </row>
    <row r="27" spans="1:11" ht="12.75">
      <c r="A27" s="2" t="s">
        <v>17</v>
      </c>
      <c r="B27" s="426"/>
      <c r="C27" s="427" t="s">
        <v>1036</v>
      </c>
      <c r="D27" s="29" t="s">
        <v>1040</v>
      </c>
      <c r="E27" s="48" t="s">
        <v>1042</v>
      </c>
      <c r="F27" s="3"/>
      <c r="G27" s="3"/>
      <c r="H27" s="3"/>
      <c r="I27" s="3"/>
      <c r="J27" s="3"/>
      <c r="K27" s="3"/>
    </row>
    <row r="28" spans="1:5" ht="12.75">
      <c r="A28" s="2"/>
      <c r="B28" s="439" t="s">
        <v>807</v>
      </c>
      <c r="C28" s="440">
        <v>2529.025</v>
      </c>
      <c r="D28" s="441">
        <v>12.85</v>
      </c>
      <c r="E28" s="442">
        <v>39.65</v>
      </c>
    </row>
    <row r="29" spans="1:5" ht="12.75">
      <c r="A29" s="2"/>
      <c r="B29" s="443" t="s">
        <v>820</v>
      </c>
      <c r="C29" s="444">
        <v>1388.4450202924854</v>
      </c>
      <c r="D29" s="445">
        <v>2.3932195887548637</v>
      </c>
      <c r="E29" s="446">
        <v>12.477078985083008</v>
      </c>
    </row>
    <row r="30" spans="1:5" ht="12.75">
      <c r="A30" s="2"/>
      <c r="B30" s="1"/>
      <c r="C30" s="447"/>
      <c r="D30" s="447"/>
      <c r="E30" s="447"/>
    </row>
    <row r="31" spans="1:11" ht="12.75">
      <c r="A31" s="2" t="s">
        <v>18</v>
      </c>
      <c r="B31" s="426" t="s">
        <v>676</v>
      </c>
      <c r="C31" s="448" t="s">
        <v>1036</v>
      </c>
      <c r="D31" s="449" t="s">
        <v>1040</v>
      </c>
      <c r="E31" s="450" t="s">
        <v>1042</v>
      </c>
      <c r="F31" s="3"/>
      <c r="G31" s="3"/>
      <c r="H31" s="3"/>
      <c r="I31" s="3"/>
      <c r="J31" s="3"/>
      <c r="K31" s="3"/>
    </row>
    <row r="32" spans="1:5" ht="12.75">
      <c r="A32" s="2"/>
      <c r="B32" s="439" t="s">
        <v>807</v>
      </c>
      <c r="C32" s="440">
        <v>3110.8</v>
      </c>
      <c r="D32" s="441">
        <v>13.5</v>
      </c>
      <c r="E32" s="442">
        <v>38.2</v>
      </c>
    </row>
    <row r="33" spans="1:5" ht="12.75">
      <c r="A33" s="2"/>
      <c r="B33" s="439" t="s">
        <v>820</v>
      </c>
      <c r="C33" s="451">
        <v>1478.9071505676075</v>
      </c>
      <c r="D33" s="452">
        <v>2.224859546128699</v>
      </c>
      <c r="E33" s="453">
        <v>10.581115253129038</v>
      </c>
    </row>
    <row r="34" spans="1:11" ht="12.75">
      <c r="A34" s="2"/>
      <c r="B34" s="426" t="s">
        <v>675</v>
      </c>
      <c r="C34" s="448" t="s">
        <v>1036</v>
      </c>
      <c r="D34" s="449" t="s">
        <v>1040</v>
      </c>
      <c r="E34" s="450" t="s">
        <v>1042</v>
      </c>
      <c r="F34" s="3"/>
      <c r="G34" s="3"/>
      <c r="H34" s="3"/>
      <c r="I34" s="3"/>
      <c r="J34" s="3"/>
      <c r="K34" s="3"/>
    </row>
    <row r="35" spans="1:5" ht="12.75">
      <c r="A35" s="2"/>
      <c r="B35" s="439" t="s">
        <v>807</v>
      </c>
      <c r="C35" s="440">
        <v>1947.25</v>
      </c>
      <c r="D35" s="441">
        <v>12.2</v>
      </c>
      <c r="E35" s="442">
        <v>41.1</v>
      </c>
    </row>
    <row r="36" spans="1:5" ht="12.75">
      <c r="A36" s="2"/>
      <c r="B36" s="443" t="s">
        <v>820</v>
      </c>
      <c r="C36" s="444">
        <v>995.7251063923215</v>
      </c>
      <c r="D36" s="445">
        <v>2.3790754506740637</v>
      </c>
      <c r="E36" s="446">
        <v>13.971041478715895</v>
      </c>
    </row>
    <row r="37" ht="12.75">
      <c r="A37" s="2"/>
    </row>
    <row r="38" spans="1:4" ht="12.75">
      <c r="A38" s="2" t="s">
        <v>19</v>
      </c>
      <c r="B38" s="107"/>
      <c r="C38" s="454" t="s">
        <v>20</v>
      </c>
      <c r="D38" s="153" t="s">
        <v>21</v>
      </c>
    </row>
    <row r="39" spans="1:4" ht="12.75">
      <c r="A39" s="2"/>
      <c r="B39" s="439" t="s">
        <v>22</v>
      </c>
      <c r="C39" s="455">
        <v>-1232.7863184183186</v>
      </c>
      <c r="D39" s="309">
        <v>-0.7656911170963585</v>
      </c>
    </row>
    <row r="40" spans="1:4" ht="12.75">
      <c r="A40" s="2"/>
      <c r="B40" s="439" t="s">
        <v>1038</v>
      </c>
      <c r="C40" s="456">
        <v>-881.9453693225232</v>
      </c>
      <c r="D40" s="312">
        <v>-2.24682952569902</v>
      </c>
    </row>
    <row r="41" spans="1:4" ht="12.75">
      <c r="A41" s="2"/>
      <c r="B41" s="439" t="s">
        <v>1040</v>
      </c>
      <c r="C41" s="456">
        <v>262.96247286671246</v>
      </c>
      <c r="D41" s="312">
        <v>2.922994652465664</v>
      </c>
    </row>
    <row r="42" spans="1:4" ht="12.75">
      <c r="A42" s="2"/>
      <c r="B42" s="443" t="s">
        <v>1042</v>
      </c>
      <c r="C42" s="457">
        <v>20.774684154913636</v>
      </c>
      <c r="D42" s="315">
        <v>1.2424709499180295</v>
      </c>
    </row>
    <row r="43" ht="12.75">
      <c r="A43" s="2"/>
    </row>
    <row r="44" spans="1:2" ht="12.75">
      <c r="A44" s="2"/>
      <c r="B44" t="s">
        <v>23</v>
      </c>
    </row>
    <row r="45" ht="12.75">
      <c r="A45" s="2"/>
    </row>
    <row r="46" spans="1:2" ht="12.75">
      <c r="A46" s="2"/>
      <c r="B46" t="s">
        <v>24</v>
      </c>
    </row>
    <row r="47" ht="12.75">
      <c r="A47" s="2"/>
    </row>
    <row r="48" spans="1:2" ht="12.75">
      <c r="A48" s="2"/>
      <c r="B48" t="s">
        <v>25</v>
      </c>
    </row>
    <row r="49" ht="12.75">
      <c r="A49" s="2"/>
    </row>
    <row r="50" spans="1:2" ht="12.75">
      <c r="A50" s="2"/>
      <c r="B50" t="s">
        <v>26</v>
      </c>
    </row>
    <row r="51" spans="1:2" ht="12.75">
      <c r="A51" s="2"/>
      <c r="B51" t="s">
        <v>27</v>
      </c>
    </row>
    <row r="52" ht="12.75">
      <c r="A52" s="2"/>
    </row>
    <row r="53" spans="1:2" ht="12.75">
      <c r="A53" s="2"/>
      <c r="B53" t="s">
        <v>28</v>
      </c>
    </row>
    <row r="54" spans="1:2" ht="12.75">
      <c r="A54" s="2"/>
      <c r="B54" t="s">
        <v>29</v>
      </c>
    </row>
    <row r="55" ht="12.75">
      <c r="A55" s="2"/>
    </row>
    <row r="56" spans="1:2" ht="12.75">
      <c r="A56" s="2"/>
      <c r="B56" t="s">
        <v>30</v>
      </c>
    </row>
    <row r="57" spans="1:2" ht="12.75">
      <c r="A57" s="2"/>
      <c r="B57" t="s">
        <v>31</v>
      </c>
    </row>
    <row r="58" ht="12.75">
      <c r="A58" s="2"/>
    </row>
    <row r="59" spans="1:2" ht="12.75">
      <c r="A59" s="2"/>
      <c r="B59" t="s">
        <v>32</v>
      </c>
    </row>
    <row r="60" spans="1:2" ht="12.75">
      <c r="A60" s="2"/>
      <c r="B60" t="s">
        <v>33</v>
      </c>
    </row>
    <row r="61" ht="12.75">
      <c r="A61" s="2"/>
    </row>
    <row r="62" spans="1:4" ht="12.75">
      <c r="A62" s="2" t="s">
        <v>34</v>
      </c>
      <c r="B62" s="107" t="s">
        <v>676</v>
      </c>
      <c r="C62" s="454" t="s">
        <v>20</v>
      </c>
      <c r="D62" s="153" t="s">
        <v>21</v>
      </c>
    </row>
    <row r="63" spans="1:4" ht="12.75">
      <c r="A63" s="2"/>
      <c r="B63" s="439" t="s">
        <v>22</v>
      </c>
      <c r="C63" s="455">
        <v>-1353.0395121187762</v>
      </c>
      <c r="D63" s="309">
        <v>-0.45321195570074596</v>
      </c>
    </row>
    <row r="64" spans="1:4" ht="12.75">
      <c r="A64" s="2"/>
      <c r="B64" s="439" t="s">
        <v>1040</v>
      </c>
      <c r="C64" s="456">
        <v>289.5422549292341</v>
      </c>
      <c r="D64" s="312">
        <v>1.7889241309865627</v>
      </c>
    </row>
    <row r="65" spans="1:4" ht="12.75">
      <c r="A65" s="2"/>
      <c r="B65" s="439" t="s">
        <v>1042</v>
      </c>
      <c r="C65" s="458">
        <v>14.529295041207224</v>
      </c>
      <c r="D65" s="459">
        <v>0.42692674122792884</v>
      </c>
    </row>
    <row r="66" spans="1:4" ht="12.75">
      <c r="A66" s="2"/>
      <c r="B66" s="107" t="s">
        <v>675</v>
      </c>
      <c r="C66" s="460" t="s">
        <v>20</v>
      </c>
      <c r="D66" s="461" t="s">
        <v>21</v>
      </c>
    </row>
    <row r="67" spans="1:4" ht="12.75">
      <c r="A67" s="2"/>
      <c r="B67" s="439" t="s">
        <v>22</v>
      </c>
      <c r="C67" s="455">
        <v>-1914.875257809401</v>
      </c>
      <c r="D67" s="309">
        <v>-1.219157304272881</v>
      </c>
    </row>
    <row r="68" spans="1:4" ht="12.75">
      <c r="A68" s="2"/>
      <c r="B68" s="439" t="s">
        <v>1040</v>
      </c>
      <c r="C68" s="456">
        <v>236.38018521300845</v>
      </c>
      <c r="D68" s="312">
        <v>2.487808606875316</v>
      </c>
    </row>
    <row r="69" spans="1:4" ht="12.75">
      <c r="A69" s="2"/>
      <c r="B69" s="443" t="s">
        <v>1042</v>
      </c>
      <c r="C69" s="457">
        <v>23.802603362790713</v>
      </c>
      <c r="D69" s="315">
        <v>1.4711295652616132</v>
      </c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B2:D39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0" customWidth="1"/>
  </cols>
  <sheetData>
    <row r="2" ht="12.75">
      <c r="B2" s="204" t="s">
        <v>322</v>
      </c>
    </row>
    <row r="3" ht="12.75">
      <c r="B3" s="204"/>
    </row>
    <row r="5" ht="12.75">
      <c r="B5" t="s">
        <v>329</v>
      </c>
    </row>
    <row r="6" ht="12.75">
      <c r="B6" t="s">
        <v>335</v>
      </c>
    </row>
    <row r="8" ht="12.75">
      <c r="B8" t="s">
        <v>321</v>
      </c>
    </row>
    <row r="9" spans="2:3" ht="12.75">
      <c r="B9" t="s">
        <v>599</v>
      </c>
      <c r="C9">
        <v>0.9811386033159534</v>
      </c>
    </row>
    <row r="10" ht="13.5" thickBot="1"/>
    <row r="11" spans="2:4" ht="13.5" thickBot="1">
      <c r="B11" s="635" t="s">
        <v>323</v>
      </c>
      <c r="C11" s="632" t="s">
        <v>20</v>
      </c>
      <c r="D11" s="631" t="s">
        <v>21</v>
      </c>
    </row>
    <row r="12" spans="2:4" ht="12.75">
      <c r="B12" s="636" t="s">
        <v>22</v>
      </c>
      <c r="C12" s="633">
        <v>1.3732165389439146</v>
      </c>
      <c r="D12" s="630">
        <v>0.8556677047138597</v>
      </c>
    </row>
    <row r="13" spans="2:4" ht="13.5" thickBot="1">
      <c r="B13" s="637" t="s">
        <v>59</v>
      </c>
      <c r="C13" s="634">
        <v>0.582589956138739</v>
      </c>
      <c r="D13" s="629">
        <v>22.123957181576607</v>
      </c>
    </row>
    <row r="15" ht="12.75">
      <c r="B15" t="s">
        <v>337</v>
      </c>
    </row>
    <row r="16" ht="12.75">
      <c r="B16" t="s">
        <v>324</v>
      </c>
    </row>
    <row r="17" ht="12.75">
      <c r="B17" t="s">
        <v>338</v>
      </c>
    </row>
    <row r="18" ht="12.75">
      <c r="B18" t="s">
        <v>325</v>
      </c>
    </row>
    <row r="19" ht="12.75">
      <c r="B19" t="s">
        <v>339</v>
      </c>
    </row>
    <row r="20" ht="12.75">
      <c r="B20" t="s">
        <v>326</v>
      </c>
    </row>
    <row r="21" ht="12.75">
      <c r="B21" t="s">
        <v>327</v>
      </c>
    </row>
    <row r="22" ht="12.75">
      <c r="B22" t="s">
        <v>328</v>
      </c>
    </row>
    <row r="23" ht="12.75">
      <c r="B23" t="s">
        <v>332</v>
      </c>
    </row>
    <row r="26" ht="12.75">
      <c r="B26" t="s">
        <v>330</v>
      </c>
    </row>
    <row r="28" ht="12.75">
      <c r="B28" t="s">
        <v>321</v>
      </c>
    </row>
    <row r="29" spans="2:3" ht="12.75">
      <c r="B29" t="s">
        <v>599</v>
      </c>
      <c r="C29">
        <v>0.898704928511456</v>
      </c>
    </row>
    <row r="30" ht="13.5" thickBot="1"/>
    <row r="31" spans="2:4" ht="13.5" thickBot="1">
      <c r="B31" s="635" t="s">
        <v>323</v>
      </c>
      <c r="C31" s="632" t="s">
        <v>20</v>
      </c>
      <c r="D31" s="631" t="s">
        <v>21</v>
      </c>
    </row>
    <row r="32" spans="2:4" ht="12.75">
      <c r="B32" s="636" t="s">
        <v>22</v>
      </c>
      <c r="C32" s="633">
        <v>-0.4752164943392643</v>
      </c>
      <c r="D32" s="630">
        <v>-0.11395642587300399</v>
      </c>
    </row>
    <row r="33" spans="2:4" ht="13.5" thickBot="1">
      <c r="B33" s="637" t="s">
        <v>62</v>
      </c>
      <c r="C33" s="634">
        <v>0.6352792530024838</v>
      </c>
      <c r="D33" s="629">
        <v>8.93245891554543</v>
      </c>
    </row>
    <row r="35" ht="12.75">
      <c r="B35" t="s">
        <v>336</v>
      </c>
    </row>
    <row r="36" ht="12.75">
      <c r="B36" t="s">
        <v>333</v>
      </c>
    </row>
    <row r="38" ht="12.75">
      <c r="B38" t="s">
        <v>334</v>
      </c>
    </row>
    <row r="39" ht="12.75">
      <c r="B39" t="s">
        <v>331</v>
      </c>
    </row>
  </sheetData>
  <printOptions/>
  <pageMargins left="0.75" right="0.75" top="1" bottom="1" header="0.4921259845" footer="0.492125984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N67"/>
  <sheetViews>
    <sheetView workbookViewId="0" topLeftCell="A1">
      <selection activeCell="A1" sqref="A1"/>
    </sheetView>
  </sheetViews>
  <sheetFormatPr defaultColWidth="11.421875" defaultRowHeight="12.75"/>
  <cols>
    <col min="1" max="1" width="8.00390625" style="0" customWidth="1"/>
  </cols>
  <sheetData>
    <row r="2" ht="12.75">
      <c r="B2" s="204" t="s">
        <v>1013</v>
      </c>
    </row>
    <row r="6" ht="12.75">
      <c r="B6" s="204" t="s">
        <v>35</v>
      </c>
    </row>
    <row r="8" spans="1:2" ht="12.75">
      <c r="A8" s="2"/>
      <c r="B8" t="s">
        <v>36</v>
      </c>
    </row>
    <row r="9" spans="1:2" ht="12.75">
      <c r="A9" s="2"/>
      <c r="B9" t="s">
        <v>37</v>
      </c>
    </row>
    <row r="10" ht="12.75">
      <c r="A10" s="2"/>
    </row>
    <row r="11" spans="1:14" ht="12.75">
      <c r="A11" s="2"/>
      <c r="B11" s="426" t="s">
        <v>936</v>
      </c>
      <c r="C11" s="427" t="s">
        <v>1022</v>
      </c>
      <c r="D11" s="29" t="s">
        <v>1023</v>
      </c>
      <c r="E11" s="29" t="s">
        <v>38</v>
      </c>
      <c r="F11" s="29" t="s">
        <v>1024</v>
      </c>
      <c r="G11" s="30" t="s">
        <v>39</v>
      </c>
      <c r="H11" s="48" t="s">
        <v>1025</v>
      </c>
      <c r="I11" s="2"/>
      <c r="J11" s="2"/>
      <c r="K11" s="2"/>
      <c r="L11" s="2"/>
      <c r="M11" s="2"/>
      <c r="N11" s="2"/>
    </row>
    <row r="12" spans="1:8" ht="12.75">
      <c r="A12" s="2"/>
      <c r="B12" s="428" t="s">
        <v>1026</v>
      </c>
      <c r="C12" s="429">
        <v>1</v>
      </c>
      <c r="D12" s="11">
        <v>0.8</v>
      </c>
      <c r="E12" s="11">
        <v>0.9</v>
      </c>
      <c r="F12" s="11">
        <v>0.9</v>
      </c>
      <c r="G12" s="33">
        <v>0.8</v>
      </c>
      <c r="H12" s="53">
        <v>1</v>
      </c>
    </row>
    <row r="13" spans="1:8" ht="12.75">
      <c r="A13" s="2"/>
      <c r="B13" s="430" t="s">
        <v>1027</v>
      </c>
      <c r="C13" s="343">
        <v>0.45</v>
      </c>
      <c r="D13" s="14">
        <v>9</v>
      </c>
      <c r="E13" s="14">
        <v>0.5</v>
      </c>
      <c r="F13" s="14">
        <v>10</v>
      </c>
      <c r="G13" s="37">
        <v>0.5</v>
      </c>
      <c r="H13" s="54">
        <v>13</v>
      </c>
    </row>
    <row r="14" spans="1:8" ht="12.75">
      <c r="A14" s="2"/>
      <c r="B14" s="430" t="s">
        <v>1028</v>
      </c>
      <c r="C14" s="343">
        <v>0.8</v>
      </c>
      <c r="D14" s="14">
        <v>2</v>
      </c>
      <c r="E14" s="14">
        <v>0.9</v>
      </c>
      <c r="F14" s="14">
        <v>2.5</v>
      </c>
      <c r="G14" s="37">
        <v>1</v>
      </c>
      <c r="H14" s="54">
        <v>3</v>
      </c>
    </row>
    <row r="15" spans="1:8" ht="12.75">
      <c r="A15" s="2"/>
      <c r="B15" s="430" t="s">
        <v>1029</v>
      </c>
      <c r="C15" s="343">
        <v>0.6</v>
      </c>
      <c r="D15" s="14">
        <v>3</v>
      </c>
      <c r="E15" s="14">
        <v>0.8</v>
      </c>
      <c r="F15" s="14">
        <v>4</v>
      </c>
      <c r="G15" s="37">
        <v>0.9</v>
      </c>
      <c r="H15" s="54">
        <v>4.5</v>
      </c>
    </row>
    <row r="16" spans="1:8" ht="12.75">
      <c r="A16" s="2"/>
      <c r="B16" s="430" t="s">
        <v>1030</v>
      </c>
      <c r="C16" s="343">
        <v>0.45</v>
      </c>
      <c r="D16" s="14">
        <v>1.5</v>
      </c>
      <c r="E16" s="14">
        <v>0.4</v>
      </c>
      <c r="F16" s="14">
        <v>1.8</v>
      </c>
      <c r="G16" s="37">
        <v>0.3</v>
      </c>
      <c r="H16" s="54">
        <v>2.5</v>
      </c>
    </row>
    <row r="17" spans="1:8" ht="12.75">
      <c r="A17" s="2"/>
      <c r="B17" s="431" t="s">
        <v>952</v>
      </c>
      <c r="C17" s="432">
        <v>0.3</v>
      </c>
      <c r="D17" s="41">
        <v>0.5</v>
      </c>
      <c r="E17" s="41">
        <v>0.3</v>
      </c>
      <c r="F17" s="41">
        <v>0.6</v>
      </c>
      <c r="G17" s="42">
        <v>0.25</v>
      </c>
      <c r="H17" s="56">
        <v>0.8</v>
      </c>
    </row>
    <row r="18" ht="12.75">
      <c r="A18" s="2"/>
    </row>
    <row r="19" spans="1:2" ht="12.75">
      <c r="A19" s="2"/>
      <c r="B19" t="s">
        <v>216</v>
      </c>
    </row>
    <row r="20" spans="1:14" ht="12.75">
      <c r="A20" s="77"/>
      <c r="B20" s="462" t="s">
        <v>40</v>
      </c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</row>
    <row r="21" spans="1:14" ht="12.75">
      <c r="A21" s="77"/>
      <c r="B21" s="462" t="s">
        <v>41</v>
      </c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</row>
    <row r="22" spans="1:2" ht="12.75">
      <c r="A22" s="2"/>
      <c r="B22" t="s">
        <v>42</v>
      </c>
    </row>
    <row r="23" ht="12.75">
      <c r="A23" s="2"/>
    </row>
    <row r="24" ht="12.75">
      <c r="A24" s="2"/>
    </row>
    <row r="25" ht="12.75">
      <c r="B25" s="204" t="s">
        <v>43</v>
      </c>
    </row>
    <row r="27" ht="12.75">
      <c r="B27" t="s">
        <v>44</v>
      </c>
    </row>
    <row r="28" ht="12.75">
      <c r="B28" t="s">
        <v>45</v>
      </c>
    </row>
    <row r="30" ht="12.75">
      <c r="B30" t="s">
        <v>46</v>
      </c>
    </row>
    <row r="31" ht="12.75">
      <c r="B31" t="s">
        <v>47</v>
      </c>
    </row>
    <row r="32" ht="12.75">
      <c r="B32" t="s">
        <v>48</v>
      </c>
    </row>
    <row r="33" ht="12.75">
      <c r="B33" t="s">
        <v>49</v>
      </c>
    </row>
    <row r="34" ht="12.75">
      <c r="B34" t="s">
        <v>50</v>
      </c>
    </row>
    <row r="37" ht="12.75">
      <c r="B37" s="204" t="s">
        <v>51</v>
      </c>
    </row>
    <row r="39" ht="12.75">
      <c r="B39" t="s">
        <v>52</v>
      </c>
    </row>
    <row r="40" ht="12.75">
      <c r="B40" s="2"/>
    </row>
    <row r="41" spans="1:14" ht="12.75">
      <c r="A41" s="1"/>
      <c r="B41" s="27" t="s">
        <v>873</v>
      </c>
      <c r="C41" s="463" t="s">
        <v>53</v>
      </c>
      <c r="D41" s="449" t="s">
        <v>54</v>
      </c>
      <c r="E41" s="449" t="s">
        <v>55</v>
      </c>
      <c r="F41" s="449" t="s">
        <v>56</v>
      </c>
      <c r="G41" s="449" t="s">
        <v>57</v>
      </c>
      <c r="H41" s="449" t="s">
        <v>1015</v>
      </c>
      <c r="I41" s="449" t="s">
        <v>58</v>
      </c>
      <c r="J41" s="449" t="s">
        <v>59</v>
      </c>
      <c r="K41" s="449" t="s">
        <v>60</v>
      </c>
      <c r="L41" s="449" t="s">
        <v>61</v>
      </c>
      <c r="M41" s="449" t="s">
        <v>62</v>
      </c>
      <c r="N41" s="1"/>
    </row>
    <row r="42" spans="2:13" ht="12.75">
      <c r="B42" s="31">
        <v>1921</v>
      </c>
      <c r="C42" s="464">
        <v>41.9</v>
      </c>
      <c r="D42" s="441">
        <v>12.4</v>
      </c>
      <c r="E42" s="441">
        <v>12.7</v>
      </c>
      <c r="F42" s="441">
        <v>28.2</v>
      </c>
      <c r="G42" s="441">
        <v>25.5</v>
      </c>
      <c r="H42" s="441">
        <v>-0.2</v>
      </c>
      <c r="I42" s="441">
        <v>182.8</v>
      </c>
      <c r="J42" s="441">
        <v>45.6</v>
      </c>
      <c r="K42" s="441">
        <v>3.9</v>
      </c>
      <c r="L42" s="441">
        <v>7.7</v>
      </c>
      <c r="M42" s="441">
        <v>44.9</v>
      </c>
    </row>
    <row r="43" spans="2:13" ht="12.75">
      <c r="B43" s="35">
        <v>1922</v>
      </c>
      <c r="C43" s="465">
        <v>45</v>
      </c>
      <c r="D43" s="466">
        <v>16.9</v>
      </c>
      <c r="E43" s="466">
        <v>12.4</v>
      </c>
      <c r="F43" s="466">
        <v>32.2</v>
      </c>
      <c r="G43" s="466">
        <v>29.3</v>
      </c>
      <c r="H43" s="466">
        <v>1.9</v>
      </c>
      <c r="I43" s="466">
        <v>182.6</v>
      </c>
      <c r="J43" s="466">
        <v>50.1</v>
      </c>
      <c r="K43" s="466">
        <v>3.2</v>
      </c>
      <c r="L43" s="466">
        <v>3.9</v>
      </c>
      <c r="M43" s="466">
        <v>45.6</v>
      </c>
    </row>
    <row r="44" spans="2:13" ht="12.75">
      <c r="B44" s="35">
        <v>1923</v>
      </c>
      <c r="C44" s="465">
        <v>49.2</v>
      </c>
      <c r="D44" s="466">
        <v>18.4</v>
      </c>
      <c r="E44" s="466">
        <v>16.9</v>
      </c>
      <c r="F44" s="466">
        <v>37</v>
      </c>
      <c r="G44" s="466">
        <v>34.1</v>
      </c>
      <c r="H44" s="466">
        <v>5.2</v>
      </c>
      <c r="I44" s="466">
        <v>184.5</v>
      </c>
      <c r="J44" s="466">
        <v>57.2</v>
      </c>
      <c r="K44" s="466">
        <v>2.8</v>
      </c>
      <c r="L44" s="466">
        <v>4.7</v>
      </c>
      <c r="M44" s="466">
        <v>50.1</v>
      </c>
    </row>
    <row r="45" spans="2:13" ht="12.75">
      <c r="B45" s="35">
        <v>1924</v>
      </c>
      <c r="C45" s="465">
        <v>50.6</v>
      </c>
      <c r="D45" s="466">
        <v>19.4</v>
      </c>
      <c r="E45" s="466">
        <v>18.4</v>
      </c>
      <c r="F45" s="466">
        <v>37</v>
      </c>
      <c r="G45" s="466">
        <v>33.9</v>
      </c>
      <c r="H45" s="466">
        <v>3</v>
      </c>
      <c r="I45" s="466">
        <v>189.7</v>
      </c>
      <c r="J45" s="466">
        <v>57.1</v>
      </c>
      <c r="K45" s="466">
        <v>3.5</v>
      </c>
      <c r="L45" s="466">
        <v>3.8</v>
      </c>
      <c r="M45" s="466">
        <v>57.2</v>
      </c>
    </row>
    <row r="46" spans="2:13" ht="12.75">
      <c r="B46" s="35">
        <v>1925</v>
      </c>
      <c r="C46" s="465">
        <v>52.6</v>
      </c>
      <c r="D46" s="466">
        <v>20.1</v>
      </c>
      <c r="E46" s="466">
        <v>19.4</v>
      </c>
      <c r="F46" s="466">
        <v>38.6</v>
      </c>
      <c r="G46" s="466">
        <v>35.4</v>
      </c>
      <c r="H46" s="466">
        <v>5.1</v>
      </c>
      <c r="I46" s="466">
        <v>192.7</v>
      </c>
      <c r="J46" s="466">
        <v>61</v>
      </c>
      <c r="K46" s="466">
        <v>3.3</v>
      </c>
      <c r="L46" s="466">
        <v>5.5</v>
      </c>
      <c r="M46" s="466">
        <v>57.1</v>
      </c>
    </row>
    <row r="47" spans="2:13" ht="12.75">
      <c r="B47" s="35">
        <v>1926</v>
      </c>
      <c r="C47" s="465">
        <v>55.1</v>
      </c>
      <c r="D47" s="466">
        <v>19.6</v>
      </c>
      <c r="E47" s="466">
        <v>20.1</v>
      </c>
      <c r="F47" s="466">
        <v>40.7</v>
      </c>
      <c r="G47" s="466">
        <v>37.4</v>
      </c>
      <c r="H47" s="466">
        <v>5.6</v>
      </c>
      <c r="I47" s="466">
        <v>197.8</v>
      </c>
      <c r="J47" s="466">
        <v>64</v>
      </c>
      <c r="K47" s="466">
        <v>3.3</v>
      </c>
      <c r="L47" s="466">
        <v>7</v>
      </c>
      <c r="M47" s="466">
        <v>61</v>
      </c>
    </row>
    <row r="48" spans="2:13" ht="12.75">
      <c r="B48" s="35">
        <v>1927</v>
      </c>
      <c r="C48" s="465">
        <v>56.2</v>
      </c>
      <c r="D48" s="466">
        <v>19.8</v>
      </c>
      <c r="E48" s="466">
        <v>19.6</v>
      </c>
      <c r="F48" s="466">
        <v>41.5</v>
      </c>
      <c r="G48" s="466">
        <v>37.9</v>
      </c>
      <c r="H48" s="466">
        <v>4.2</v>
      </c>
      <c r="I48" s="466">
        <v>203.4</v>
      </c>
      <c r="J48" s="466">
        <v>64.4</v>
      </c>
      <c r="K48" s="466">
        <v>4</v>
      </c>
      <c r="L48" s="466">
        <v>6.7</v>
      </c>
      <c r="M48" s="466">
        <v>64</v>
      </c>
    </row>
    <row r="49" spans="2:13" ht="12.75">
      <c r="B49" s="35">
        <v>1928</v>
      </c>
      <c r="C49" s="465">
        <v>57.3</v>
      </c>
      <c r="D49" s="466">
        <v>21.1</v>
      </c>
      <c r="E49" s="466">
        <v>19.8</v>
      </c>
      <c r="F49" s="466">
        <v>42.9</v>
      </c>
      <c r="G49" s="466">
        <v>39.2</v>
      </c>
      <c r="H49" s="466">
        <v>3</v>
      </c>
      <c r="I49" s="466">
        <v>207.6</v>
      </c>
      <c r="J49" s="466">
        <v>64.5</v>
      </c>
      <c r="K49" s="466">
        <v>4.2</v>
      </c>
      <c r="L49" s="466">
        <v>4.2</v>
      </c>
      <c r="M49" s="466">
        <v>64.4</v>
      </c>
    </row>
    <row r="50" spans="2:13" ht="12.75">
      <c r="B50" s="35">
        <v>1929</v>
      </c>
      <c r="C50" s="465">
        <v>57.8</v>
      </c>
      <c r="D50" s="466">
        <v>21.7</v>
      </c>
      <c r="E50" s="466">
        <v>21.1</v>
      </c>
      <c r="F50" s="466">
        <v>45.3</v>
      </c>
      <c r="G50" s="466">
        <v>41.3</v>
      </c>
      <c r="H50" s="466">
        <v>5.1</v>
      </c>
      <c r="I50" s="466">
        <v>210.6</v>
      </c>
      <c r="J50" s="466">
        <v>67</v>
      </c>
      <c r="K50" s="466">
        <v>4.1</v>
      </c>
      <c r="L50" s="466">
        <v>4</v>
      </c>
      <c r="M50" s="466">
        <v>64.5</v>
      </c>
    </row>
    <row r="51" spans="2:13" ht="12.75">
      <c r="B51" s="35">
        <v>1930</v>
      </c>
      <c r="C51" s="465">
        <v>55</v>
      </c>
      <c r="D51" s="466">
        <v>15.6</v>
      </c>
      <c r="E51" s="466">
        <v>21.7</v>
      </c>
      <c r="F51" s="466">
        <v>42.1</v>
      </c>
      <c r="G51" s="466">
        <v>37.9</v>
      </c>
      <c r="H51" s="466">
        <v>1</v>
      </c>
      <c r="I51" s="466">
        <v>215.7</v>
      </c>
      <c r="J51" s="466">
        <v>61.2</v>
      </c>
      <c r="K51" s="466">
        <v>5.2</v>
      </c>
      <c r="L51" s="466">
        <v>7.7</v>
      </c>
      <c r="M51" s="466">
        <v>67</v>
      </c>
    </row>
    <row r="52" spans="2:13" ht="12.75">
      <c r="B52" s="35">
        <v>1931</v>
      </c>
      <c r="C52" s="465">
        <v>50.9</v>
      </c>
      <c r="D52" s="466">
        <v>11.4</v>
      </c>
      <c r="E52" s="466">
        <v>15.6</v>
      </c>
      <c r="F52" s="466">
        <v>39.3</v>
      </c>
      <c r="G52" s="466">
        <v>34.5</v>
      </c>
      <c r="H52" s="466">
        <v>-3.4</v>
      </c>
      <c r="I52" s="466">
        <v>216.7</v>
      </c>
      <c r="J52" s="466">
        <v>53.4</v>
      </c>
      <c r="K52" s="466">
        <v>5.9</v>
      </c>
      <c r="L52" s="466">
        <v>7.5</v>
      </c>
      <c r="M52" s="466">
        <v>61.2</v>
      </c>
    </row>
    <row r="53" spans="2:13" ht="12.75">
      <c r="B53" s="35">
        <v>1932</v>
      </c>
      <c r="C53" s="465">
        <v>45.6</v>
      </c>
      <c r="D53" s="466">
        <v>7</v>
      </c>
      <c r="E53" s="466">
        <v>11.4</v>
      </c>
      <c r="F53" s="466">
        <v>34.3</v>
      </c>
      <c r="G53" s="466">
        <v>29</v>
      </c>
      <c r="H53" s="466">
        <v>-6.2</v>
      </c>
      <c r="I53" s="466">
        <v>213.3</v>
      </c>
      <c r="J53" s="466">
        <v>44.3</v>
      </c>
      <c r="K53" s="466">
        <v>4.9</v>
      </c>
      <c r="L53" s="466">
        <v>8.3</v>
      </c>
      <c r="M53" s="466">
        <v>53.4</v>
      </c>
    </row>
    <row r="54" spans="2:13" ht="12.75">
      <c r="B54" s="35">
        <v>1933</v>
      </c>
      <c r="C54" s="465">
        <v>46.5</v>
      </c>
      <c r="D54" s="466">
        <v>11.2</v>
      </c>
      <c r="E54" s="466">
        <v>7</v>
      </c>
      <c r="F54" s="466">
        <v>34.1</v>
      </c>
      <c r="G54" s="466">
        <v>28.5</v>
      </c>
      <c r="H54" s="466">
        <v>-5.1</v>
      </c>
      <c r="I54" s="466">
        <v>207.1</v>
      </c>
      <c r="J54" s="466">
        <v>45.1</v>
      </c>
      <c r="K54" s="466">
        <v>3.7</v>
      </c>
      <c r="L54" s="466">
        <v>5.4</v>
      </c>
      <c r="M54" s="466">
        <v>44.3</v>
      </c>
    </row>
    <row r="55" spans="2:13" ht="12.75">
      <c r="B55" s="35">
        <v>1934</v>
      </c>
      <c r="C55" s="465">
        <v>48.7</v>
      </c>
      <c r="D55" s="466">
        <v>12.3</v>
      </c>
      <c r="E55" s="466">
        <v>11.2</v>
      </c>
      <c r="F55" s="466">
        <v>36.6</v>
      </c>
      <c r="G55" s="466">
        <v>30.6</v>
      </c>
      <c r="H55" s="466">
        <v>-3</v>
      </c>
      <c r="I55" s="466">
        <v>202</v>
      </c>
      <c r="J55" s="466">
        <v>49.7</v>
      </c>
      <c r="K55" s="466">
        <v>4</v>
      </c>
      <c r="L55" s="466">
        <v>6.8</v>
      </c>
      <c r="M55" s="466">
        <v>45.1</v>
      </c>
    </row>
    <row r="56" spans="2:13" ht="12.75">
      <c r="B56" s="35">
        <v>1935</v>
      </c>
      <c r="C56" s="465">
        <v>51.3</v>
      </c>
      <c r="D56" s="466">
        <v>14</v>
      </c>
      <c r="E56" s="466">
        <v>12.3</v>
      </c>
      <c r="F56" s="466">
        <v>39.3</v>
      </c>
      <c r="G56" s="466">
        <v>33.2</v>
      </c>
      <c r="H56" s="466">
        <v>-1.3</v>
      </c>
      <c r="I56" s="466">
        <v>199.8</v>
      </c>
      <c r="J56" s="466">
        <v>54.4</v>
      </c>
      <c r="K56" s="466">
        <v>4.4</v>
      </c>
      <c r="L56" s="466">
        <v>7.2</v>
      </c>
      <c r="M56" s="466">
        <v>49.7</v>
      </c>
    </row>
    <row r="57" spans="2:13" ht="12.75">
      <c r="B57" s="35">
        <v>1936</v>
      </c>
      <c r="C57" s="465">
        <v>57.7</v>
      </c>
      <c r="D57" s="466">
        <v>17.6</v>
      </c>
      <c r="E57" s="466">
        <v>14</v>
      </c>
      <c r="F57" s="466">
        <v>44.2</v>
      </c>
      <c r="G57" s="466">
        <v>36.8</v>
      </c>
      <c r="H57" s="466">
        <v>2.1</v>
      </c>
      <c r="I57" s="466">
        <v>197.7</v>
      </c>
      <c r="J57" s="466">
        <v>62.7</v>
      </c>
      <c r="K57" s="466">
        <v>2.9</v>
      </c>
      <c r="L57" s="466">
        <v>8.3</v>
      </c>
      <c r="M57" s="466">
        <v>54.4</v>
      </c>
    </row>
    <row r="58" spans="2:13" ht="12.75">
      <c r="B58" s="35">
        <v>1937</v>
      </c>
      <c r="C58" s="465">
        <v>58.7</v>
      </c>
      <c r="D58" s="466">
        <v>17.3</v>
      </c>
      <c r="E58" s="466">
        <v>17.6</v>
      </c>
      <c r="F58" s="466">
        <v>47.7</v>
      </c>
      <c r="G58" s="466">
        <v>41</v>
      </c>
      <c r="H58" s="466">
        <v>2</v>
      </c>
      <c r="I58" s="466">
        <v>199.8</v>
      </c>
      <c r="J58" s="466">
        <v>65</v>
      </c>
      <c r="K58" s="466">
        <v>4.3</v>
      </c>
      <c r="L58" s="466">
        <v>6.7</v>
      </c>
      <c r="M58" s="466">
        <v>62.7</v>
      </c>
    </row>
    <row r="59" spans="2:13" ht="12.75">
      <c r="B59" s="35">
        <v>1938</v>
      </c>
      <c r="C59" s="465">
        <v>57.5</v>
      </c>
      <c r="D59" s="466">
        <v>15.3</v>
      </c>
      <c r="E59" s="466">
        <v>17.3</v>
      </c>
      <c r="F59" s="466">
        <v>45.9</v>
      </c>
      <c r="G59" s="466">
        <v>38.2</v>
      </c>
      <c r="H59" s="466">
        <v>-1.9</v>
      </c>
      <c r="I59" s="466">
        <v>201.8</v>
      </c>
      <c r="J59" s="466">
        <v>60.9</v>
      </c>
      <c r="K59" s="466">
        <v>5.3</v>
      </c>
      <c r="L59" s="466">
        <v>7.4</v>
      </c>
      <c r="M59" s="466">
        <v>65</v>
      </c>
    </row>
    <row r="60" spans="2:13" ht="12.75">
      <c r="B60" s="35">
        <v>1939</v>
      </c>
      <c r="C60" s="465">
        <v>61.6</v>
      </c>
      <c r="D60" s="466">
        <v>19</v>
      </c>
      <c r="E60" s="466">
        <v>15.3</v>
      </c>
      <c r="F60" s="466">
        <v>49.4</v>
      </c>
      <c r="G60" s="466">
        <v>41.6</v>
      </c>
      <c r="H60" s="466">
        <v>1.3</v>
      </c>
      <c r="I60" s="466">
        <v>199.9</v>
      </c>
      <c r="J60" s="466">
        <v>69.5</v>
      </c>
      <c r="K60" s="466">
        <v>6.6</v>
      </c>
      <c r="L60" s="466">
        <v>8.9</v>
      </c>
      <c r="M60" s="466">
        <v>60.9</v>
      </c>
    </row>
    <row r="61" spans="2:13" ht="12.75">
      <c r="B61" s="35">
        <v>1940</v>
      </c>
      <c r="C61" s="465">
        <v>65</v>
      </c>
      <c r="D61" s="466">
        <v>21.1</v>
      </c>
      <c r="E61" s="466">
        <v>19</v>
      </c>
      <c r="F61" s="466">
        <v>53</v>
      </c>
      <c r="G61" s="466">
        <v>45</v>
      </c>
      <c r="H61" s="466">
        <v>3.3</v>
      </c>
      <c r="I61" s="466">
        <v>201.2</v>
      </c>
      <c r="J61" s="466">
        <v>75.7</v>
      </c>
      <c r="K61" s="466">
        <v>7.4</v>
      </c>
      <c r="L61" s="466">
        <v>9.6</v>
      </c>
      <c r="M61" s="466">
        <v>69.5</v>
      </c>
    </row>
    <row r="62" spans="2:13" ht="12.75">
      <c r="B62" s="39">
        <v>1941</v>
      </c>
      <c r="C62" s="467">
        <v>69.7</v>
      </c>
      <c r="D62" s="445">
        <v>23.5</v>
      </c>
      <c r="E62" s="445">
        <v>21.1</v>
      </c>
      <c r="F62" s="445">
        <v>61.8</v>
      </c>
      <c r="G62" s="445">
        <v>53.3</v>
      </c>
      <c r="H62" s="445">
        <v>4.9</v>
      </c>
      <c r="I62" s="445">
        <v>204.5</v>
      </c>
      <c r="J62" s="445">
        <v>88.4</v>
      </c>
      <c r="K62" s="445">
        <v>13.8</v>
      </c>
      <c r="L62" s="445">
        <v>11.6</v>
      </c>
      <c r="M62" s="445">
        <v>75.7</v>
      </c>
    </row>
    <row r="63" ht="12.75">
      <c r="B63" s="2"/>
    </row>
    <row r="64" spans="1:14" ht="12.75">
      <c r="A64" s="338"/>
      <c r="B64" s="316" t="s">
        <v>63</v>
      </c>
      <c r="C64" s="338"/>
      <c r="D64" s="338"/>
      <c r="E64" s="338"/>
      <c r="F64" s="338"/>
      <c r="G64" s="338"/>
      <c r="H64" s="316"/>
      <c r="I64" s="316"/>
      <c r="J64" s="316"/>
      <c r="K64" s="316"/>
      <c r="L64" s="316"/>
      <c r="M64" s="316"/>
      <c r="N64" s="316"/>
    </row>
    <row r="65" spans="1:14" ht="12.75">
      <c r="A65" s="338"/>
      <c r="B65" s="338" t="s">
        <v>64</v>
      </c>
      <c r="C65" s="338"/>
      <c r="D65" s="338"/>
      <c r="E65" s="338"/>
      <c r="F65" s="338"/>
      <c r="G65" s="338"/>
      <c r="H65" s="338"/>
      <c r="I65" s="338"/>
      <c r="J65" s="338"/>
      <c r="K65" s="338"/>
      <c r="L65" s="338"/>
      <c r="M65" s="338"/>
      <c r="N65" s="338"/>
    </row>
    <row r="66" spans="2:14" ht="12.75">
      <c r="B66" t="s">
        <v>65</v>
      </c>
      <c r="H66" s="338"/>
      <c r="I66" s="338"/>
      <c r="J66" s="338"/>
      <c r="K66" s="338"/>
      <c r="L66" s="338"/>
      <c r="M66" s="338"/>
      <c r="N66" s="338"/>
    </row>
    <row r="67" spans="8:14" ht="12.75">
      <c r="H67" s="338"/>
      <c r="I67" s="338"/>
      <c r="J67" s="338"/>
      <c r="K67" s="338"/>
      <c r="L67" s="338"/>
      <c r="M67" s="338"/>
      <c r="N67" s="338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B2:N114"/>
  <sheetViews>
    <sheetView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2" max="2" width="5.8515625" style="0" customWidth="1"/>
    <col min="3" max="3" width="18.140625" style="0" customWidth="1"/>
    <col min="5" max="5" width="4.140625" style="0" customWidth="1"/>
    <col min="6" max="7" width="7.57421875" style="0" customWidth="1"/>
    <col min="8" max="8" width="8.28125" style="0" customWidth="1"/>
    <col min="9" max="9" width="8.8515625" style="0" customWidth="1"/>
    <col min="10" max="10" width="8.57421875" style="0" customWidth="1"/>
    <col min="11" max="11" width="8.7109375" style="0" customWidth="1"/>
    <col min="13" max="13" width="7.7109375" style="0" customWidth="1"/>
    <col min="14" max="14" width="7.421875" style="0" customWidth="1"/>
  </cols>
  <sheetData>
    <row r="2" spans="2:9" ht="12.75">
      <c r="B2" s="1"/>
      <c r="C2" s="1" t="s">
        <v>66</v>
      </c>
      <c r="D2" s="1"/>
      <c r="E2" s="1"/>
      <c r="F2" s="1"/>
      <c r="G2" s="1"/>
      <c r="H2" s="1"/>
      <c r="I2" s="1"/>
    </row>
    <row r="3" s="337" customFormat="1" ht="12.75">
      <c r="C3" s="468" t="s">
        <v>3</v>
      </c>
    </row>
    <row r="6" spans="2:3" ht="12.75">
      <c r="B6" s="1" t="s">
        <v>823</v>
      </c>
      <c r="C6" t="s">
        <v>67</v>
      </c>
    </row>
    <row r="7" spans="2:3" ht="12.75">
      <c r="B7" s="1"/>
      <c r="C7" t="s">
        <v>68</v>
      </c>
    </row>
    <row r="8" ht="12.75">
      <c r="B8" s="1"/>
    </row>
    <row r="9" spans="2:3" s="468" customFormat="1" ht="12.75">
      <c r="B9" s="469"/>
      <c r="C9" s="468" t="s">
        <v>69</v>
      </c>
    </row>
    <row r="10" s="468" customFormat="1" ht="12.75">
      <c r="C10" s="468" t="s">
        <v>70</v>
      </c>
    </row>
    <row r="11" s="468" customFormat="1" ht="12.75">
      <c r="C11" s="468" t="s">
        <v>71</v>
      </c>
    </row>
    <row r="12" ht="12.75">
      <c r="C12" s="468" t="s">
        <v>72</v>
      </c>
    </row>
    <row r="14" spans="2:3" ht="12.75">
      <c r="B14" s="1"/>
      <c r="C14" t="s">
        <v>73</v>
      </c>
    </row>
    <row r="15" spans="2:3" ht="12.75">
      <c r="B15" s="1"/>
      <c r="C15" t="s">
        <v>74</v>
      </c>
    </row>
    <row r="17" spans="2:3" s="468" customFormat="1" ht="12.75">
      <c r="B17" s="469"/>
      <c r="C17" s="470" t="s">
        <v>75</v>
      </c>
    </row>
    <row r="18" spans="2:3" s="468" customFormat="1" ht="12.75">
      <c r="B18" s="469"/>
      <c r="C18" s="470" t="s">
        <v>76</v>
      </c>
    </row>
    <row r="19" spans="2:3" ht="12.75">
      <c r="B19" s="1"/>
      <c r="C19" s="338"/>
    </row>
    <row r="20" spans="2:3" ht="12.75">
      <c r="B20" s="1"/>
      <c r="C20" t="s">
        <v>77</v>
      </c>
    </row>
    <row r="22" spans="2:3" s="468" customFormat="1" ht="12.75">
      <c r="B22" s="469"/>
      <c r="C22" s="470" t="s">
        <v>78</v>
      </c>
    </row>
    <row r="23" spans="2:3" s="468" customFormat="1" ht="12.75">
      <c r="B23" s="469"/>
      <c r="C23" s="470" t="s">
        <v>79</v>
      </c>
    </row>
    <row r="24" spans="2:3" s="468" customFormat="1" ht="12.75">
      <c r="B24" s="469"/>
      <c r="C24" s="470" t="s">
        <v>80</v>
      </c>
    </row>
    <row r="25" spans="2:3" s="468" customFormat="1" ht="12.75">
      <c r="B25" s="469"/>
      <c r="C25" s="470" t="s">
        <v>81</v>
      </c>
    </row>
    <row r="26" spans="2:3" ht="12.75">
      <c r="B26" s="1"/>
      <c r="C26" s="338"/>
    </row>
    <row r="27" spans="2:3" ht="12.75">
      <c r="B27" s="1"/>
      <c r="C27" t="s">
        <v>82</v>
      </c>
    </row>
    <row r="28" ht="12.75">
      <c r="B28" s="1"/>
    </row>
    <row r="29" spans="2:3" s="468" customFormat="1" ht="12.75">
      <c r="B29" s="469"/>
      <c r="C29" s="468" t="s">
        <v>83</v>
      </c>
    </row>
    <row r="30" spans="2:3" s="468" customFormat="1" ht="12.75">
      <c r="B30" s="469"/>
      <c r="C30" s="470" t="s">
        <v>84</v>
      </c>
    </row>
    <row r="31" spans="2:3" s="468" customFormat="1" ht="12.75">
      <c r="B31" s="469"/>
      <c r="C31" s="468" t="s">
        <v>85</v>
      </c>
    </row>
    <row r="33" spans="2:3" ht="12.75">
      <c r="B33" s="1"/>
      <c r="C33" t="s">
        <v>86</v>
      </c>
    </row>
    <row r="34" spans="2:3" ht="12.75">
      <c r="B34" s="1"/>
      <c r="C34" t="s">
        <v>87</v>
      </c>
    </row>
    <row r="35" ht="12.75">
      <c r="B35" s="1"/>
    </row>
    <row r="36" spans="2:3" s="468" customFormat="1" ht="12.75">
      <c r="B36" s="469"/>
      <c r="C36" s="468" t="s">
        <v>88</v>
      </c>
    </row>
    <row r="37" spans="2:3" s="468" customFormat="1" ht="12.75">
      <c r="B37" s="469"/>
      <c r="C37" s="470" t="s">
        <v>89</v>
      </c>
    </row>
    <row r="38" ht="12.75">
      <c r="B38" s="1"/>
    </row>
    <row r="39" spans="2:3" ht="12.75">
      <c r="B39" s="1"/>
      <c r="C39" t="s">
        <v>90</v>
      </c>
    </row>
    <row r="40" ht="12.75">
      <c r="B40" s="1"/>
    </row>
    <row r="41" spans="2:3" s="468" customFormat="1" ht="12.75">
      <c r="B41" s="469"/>
      <c r="C41" s="468" t="s">
        <v>91</v>
      </c>
    </row>
    <row r="42" spans="2:3" s="468" customFormat="1" ht="12.75">
      <c r="B42" s="469"/>
      <c r="C42" s="468" t="s">
        <v>92</v>
      </c>
    </row>
    <row r="43" s="468" customFormat="1" ht="12.75">
      <c r="C43" s="470" t="s">
        <v>93</v>
      </c>
    </row>
    <row r="44" s="468" customFormat="1" ht="12.75">
      <c r="C44" s="470" t="s">
        <v>94</v>
      </c>
    </row>
    <row r="45" s="468" customFormat="1" ht="12.75">
      <c r="C45" s="470" t="s">
        <v>95</v>
      </c>
    </row>
    <row r="46" s="468" customFormat="1" ht="12.75">
      <c r="C46" s="470" t="s">
        <v>96</v>
      </c>
    </row>
    <row r="47" s="468" customFormat="1" ht="12.75">
      <c r="C47" s="470" t="s">
        <v>97</v>
      </c>
    </row>
    <row r="48" ht="12.75">
      <c r="C48" s="338"/>
    </row>
    <row r="50" spans="2:3" ht="12.75">
      <c r="B50" s="1" t="s">
        <v>841</v>
      </c>
      <c r="C50" t="s">
        <v>98</v>
      </c>
    </row>
    <row r="51" ht="12.75">
      <c r="B51" s="1"/>
    </row>
    <row r="52" spans="3:14" s="3" customFormat="1" ht="12.75">
      <c r="C52" s="433" t="s">
        <v>99</v>
      </c>
      <c r="D52" s="46" t="s">
        <v>793</v>
      </c>
      <c r="F52" s="471" t="s">
        <v>988</v>
      </c>
      <c r="G52" s="472" t="s">
        <v>985</v>
      </c>
      <c r="H52" s="472" t="s">
        <v>983</v>
      </c>
      <c r="I52" s="472" t="s">
        <v>984</v>
      </c>
      <c r="J52" s="472" t="s">
        <v>987</v>
      </c>
      <c r="K52" s="472" t="s">
        <v>989</v>
      </c>
      <c r="L52" s="472" t="s">
        <v>100</v>
      </c>
      <c r="M52" s="472" t="s">
        <v>101</v>
      </c>
      <c r="N52" s="473" t="s">
        <v>102</v>
      </c>
    </row>
    <row r="53" spans="3:14" s="3" customFormat="1" ht="12.75">
      <c r="C53" s="474" t="s">
        <v>103</v>
      </c>
      <c r="D53" s="475">
        <v>25</v>
      </c>
      <c r="F53" s="476">
        <v>1000</v>
      </c>
      <c r="G53" s="477">
        <v>1000</v>
      </c>
      <c r="H53" s="478">
        <f aca="true" t="shared" si="0" ref="H53:H58">D53/$D$60</f>
        <v>0.08333333333333333</v>
      </c>
      <c r="I53" s="478">
        <f>H53</f>
        <v>0.08333333333333333</v>
      </c>
      <c r="J53" s="479">
        <f aca="true" t="shared" si="1" ref="J53:J58">H53*1000/G53</f>
        <v>0.08333333333333333</v>
      </c>
      <c r="K53" s="480">
        <f aca="true" t="shared" si="2" ref="K53:K58">H53*F53</f>
        <v>83.33333333333333</v>
      </c>
      <c r="L53" s="480">
        <f aca="true" t="shared" si="3" ref="L53:L58">H53*(F53-$K$60)^2</f>
        <v>153944.50231481477</v>
      </c>
      <c r="M53" s="478">
        <f aca="true" t="shared" si="4" ref="M53:M58">I53</f>
        <v>0.08333333333333333</v>
      </c>
      <c r="N53" s="481">
        <f>K53/K60</f>
        <v>0.03532320734722713</v>
      </c>
    </row>
    <row r="54" spans="3:14" s="3" customFormat="1" ht="12.75">
      <c r="C54" s="344" t="s">
        <v>104</v>
      </c>
      <c r="D54" s="159">
        <v>135</v>
      </c>
      <c r="F54" s="482">
        <v>1750</v>
      </c>
      <c r="G54" s="483">
        <v>500</v>
      </c>
      <c r="H54" s="484">
        <f t="shared" si="0"/>
        <v>0.45</v>
      </c>
      <c r="I54" s="484">
        <f>I53+H54</f>
        <v>0.5333333333333333</v>
      </c>
      <c r="J54" s="485">
        <f t="shared" si="1"/>
        <v>0.9</v>
      </c>
      <c r="K54" s="486">
        <f t="shared" si="2"/>
        <v>787.5</v>
      </c>
      <c r="L54" s="486">
        <f t="shared" si="3"/>
        <v>166987.8124999999</v>
      </c>
      <c r="M54" s="484">
        <f t="shared" si="4"/>
        <v>0.5333333333333333</v>
      </c>
      <c r="N54" s="487">
        <f>N53+K54/$K$60</f>
        <v>0.3691275167785235</v>
      </c>
    </row>
    <row r="55" spans="3:14" s="3" customFormat="1" ht="12.75">
      <c r="C55" s="344" t="s">
        <v>105</v>
      </c>
      <c r="D55" s="159">
        <v>98</v>
      </c>
      <c r="F55" s="482">
        <v>2500</v>
      </c>
      <c r="G55" s="483">
        <v>1000</v>
      </c>
      <c r="H55" s="484">
        <f t="shared" si="0"/>
        <v>0.32666666666666666</v>
      </c>
      <c r="I55" s="484">
        <f>I54+H55</f>
        <v>0.86</v>
      </c>
      <c r="J55" s="485">
        <f t="shared" si="1"/>
        <v>0.32666666666666666</v>
      </c>
      <c r="K55" s="486">
        <f t="shared" si="2"/>
        <v>816.6666666666666</v>
      </c>
      <c r="L55" s="486">
        <f t="shared" si="3"/>
        <v>6479.1157407407545</v>
      </c>
      <c r="M55" s="484">
        <f t="shared" si="4"/>
        <v>0.86</v>
      </c>
      <c r="N55" s="487">
        <f>N54+K55/$K$60</f>
        <v>0.7152949487813494</v>
      </c>
    </row>
    <row r="56" spans="3:14" s="3" customFormat="1" ht="12.75">
      <c r="C56" s="344" t="s">
        <v>106</v>
      </c>
      <c r="D56" s="159">
        <v>36</v>
      </c>
      <c r="F56" s="482">
        <v>4000</v>
      </c>
      <c r="G56" s="483">
        <v>2000</v>
      </c>
      <c r="H56" s="484">
        <f t="shared" si="0"/>
        <v>0.12</v>
      </c>
      <c r="I56" s="484">
        <f>I55+H56</f>
        <v>0.98</v>
      </c>
      <c r="J56" s="485">
        <f t="shared" si="1"/>
        <v>0.06</v>
      </c>
      <c r="K56" s="486">
        <f t="shared" si="2"/>
        <v>480</v>
      </c>
      <c r="L56" s="486">
        <f t="shared" si="3"/>
        <v>323080.08333333343</v>
      </c>
      <c r="M56" s="484">
        <f t="shared" si="4"/>
        <v>0.98</v>
      </c>
      <c r="N56" s="487">
        <f>N55+K56/$K$60</f>
        <v>0.9187566231013776</v>
      </c>
    </row>
    <row r="57" spans="3:14" s="3" customFormat="1" ht="12.75">
      <c r="C57" s="344" t="s">
        <v>107</v>
      </c>
      <c r="D57" s="159">
        <v>5</v>
      </c>
      <c r="F57" s="482">
        <v>7500</v>
      </c>
      <c r="G57" s="483">
        <v>5000</v>
      </c>
      <c r="H57" s="484">
        <f t="shared" si="0"/>
        <v>0.016666666666666666</v>
      </c>
      <c r="I57" s="484">
        <f>I56+H57</f>
        <v>0.9966666666666667</v>
      </c>
      <c r="J57" s="485">
        <f t="shared" si="1"/>
        <v>0.0033333333333333335</v>
      </c>
      <c r="K57" s="486">
        <f t="shared" si="2"/>
        <v>125</v>
      </c>
      <c r="L57" s="486">
        <f t="shared" si="3"/>
        <v>440469.4560185186</v>
      </c>
      <c r="M57" s="484">
        <f t="shared" si="4"/>
        <v>0.9966666666666667</v>
      </c>
      <c r="N57" s="487">
        <f>N56+K57/$K$60</f>
        <v>0.9717414341222184</v>
      </c>
    </row>
    <row r="58" spans="3:14" s="3" customFormat="1" ht="12.75">
      <c r="C58" s="488" t="s">
        <v>108</v>
      </c>
      <c r="D58" s="162">
        <v>1</v>
      </c>
      <c r="F58" s="489">
        <v>20000</v>
      </c>
      <c r="G58" s="490">
        <v>20000</v>
      </c>
      <c r="H58" s="491">
        <f t="shared" si="0"/>
        <v>0.0033333333333333335</v>
      </c>
      <c r="I58" s="491">
        <f>I57+H58</f>
        <v>1</v>
      </c>
      <c r="J58" s="492">
        <f t="shared" si="1"/>
        <v>0.00016666666666666666</v>
      </c>
      <c r="K58" s="493">
        <f t="shared" si="2"/>
        <v>66.66666666666667</v>
      </c>
      <c r="L58" s="493">
        <f t="shared" si="3"/>
        <v>1037330.0023148148</v>
      </c>
      <c r="M58" s="491">
        <f t="shared" si="4"/>
        <v>1</v>
      </c>
      <c r="N58" s="494">
        <f>N57+K58/$K$60</f>
        <v>1</v>
      </c>
    </row>
    <row r="59" spans="3:12" s="3" customFormat="1" ht="12.75">
      <c r="C59" s="279"/>
      <c r="D59" s="279"/>
      <c r="K59" s="225"/>
      <c r="L59" s="225"/>
    </row>
    <row r="60" spans="3:14" s="495" customFormat="1" ht="12.75">
      <c r="C60" s="496" t="s">
        <v>633</v>
      </c>
      <c r="D60" s="497">
        <f>SUM(D53:D58)</f>
        <v>300</v>
      </c>
      <c r="E60" s="472"/>
      <c r="F60" s="472"/>
      <c r="G60" s="472"/>
      <c r="H60" s="472">
        <f>SUM(H53:H58)</f>
        <v>1</v>
      </c>
      <c r="I60" s="472"/>
      <c r="J60" s="472"/>
      <c r="K60" s="498">
        <f>SUM(K53:K58)</f>
        <v>2359.1666666666665</v>
      </c>
      <c r="L60" s="498">
        <f>SUM(L53:L58)</f>
        <v>2128290.972222222</v>
      </c>
      <c r="M60" s="472"/>
      <c r="N60" s="473"/>
    </row>
    <row r="61" spans="8:11" ht="12.75">
      <c r="H61" s="499"/>
      <c r="K61" s="236"/>
    </row>
    <row r="62" ht="12.75">
      <c r="C62" t="s">
        <v>109</v>
      </c>
    </row>
    <row r="63" ht="12.75">
      <c r="C63" t="s">
        <v>110</v>
      </c>
    </row>
    <row r="65" s="468" customFormat="1" ht="12.75">
      <c r="C65" s="468" t="s">
        <v>111</v>
      </c>
    </row>
    <row r="66" ht="12" customHeight="1"/>
    <row r="67" ht="12.75">
      <c r="C67" t="s">
        <v>112</v>
      </c>
    </row>
    <row r="69" ht="12.75">
      <c r="C69" t="s">
        <v>113</v>
      </c>
    </row>
    <row r="70" ht="12.75">
      <c r="C70" t="s">
        <v>114</v>
      </c>
    </row>
    <row r="72" s="468" customFormat="1" ht="12.75">
      <c r="C72" s="468" t="s">
        <v>115</v>
      </c>
    </row>
    <row r="74" ht="12.75">
      <c r="C74" t="s">
        <v>116</v>
      </c>
    </row>
    <row r="76" s="468" customFormat="1" ht="12.75">
      <c r="C76" s="468" t="s">
        <v>117</v>
      </c>
    </row>
    <row r="78" ht="12.75">
      <c r="C78" t="s">
        <v>118</v>
      </c>
    </row>
    <row r="79" ht="12.75">
      <c r="C79" t="s">
        <v>119</v>
      </c>
    </row>
    <row r="81" s="468" customFormat="1" ht="12.75">
      <c r="C81" s="468" t="s">
        <v>120</v>
      </c>
    </row>
    <row r="82" s="468" customFormat="1" ht="12.75">
      <c r="C82" s="468" t="s">
        <v>121</v>
      </c>
    </row>
    <row r="84" ht="12.75">
      <c r="C84" t="s">
        <v>122</v>
      </c>
    </row>
    <row r="86" s="468" customFormat="1" ht="12.75">
      <c r="C86" s="468" t="s">
        <v>123</v>
      </c>
    </row>
    <row r="88" ht="12.75">
      <c r="C88" t="s">
        <v>124</v>
      </c>
    </row>
    <row r="89" ht="12.75">
      <c r="C89" t="s">
        <v>125</v>
      </c>
    </row>
    <row r="91" ht="12.75">
      <c r="C91" t="s">
        <v>126</v>
      </c>
    </row>
    <row r="93" s="468" customFormat="1" ht="12.75">
      <c r="C93" s="468" t="s">
        <v>127</v>
      </c>
    </row>
    <row r="96" spans="5:11" s="1" customFormat="1" ht="12.75">
      <c r="E96" s="500"/>
      <c r="F96" s="500"/>
      <c r="G96" s="500"/>
      <c r="H96" s="500"/>
      <c r="J96" s="501" t="s">
        <v>988</v>
      </c>
      <c r="K96" s="502" t="s">
        <v>987</v>
      </c>
    </row>
    <row r="97" spans="5:11" ht="12.75">
      <c r="E97" s="273"/>
      <c r="F97" s="503"/>
      <c r="G97" s="503"/>
      <c r="H97" s="273"/>
      <c r="J97" s="476">
        <v>1000</v>
      </c>
      <c r="K97" s="504">
        <v>0.08333333333333333</v>
      </c>
    </row>
    <row r="98" spans="5:11" ht="12.75">
      <c r="E98" s="273"/>
      <c r="F98" s="503"/>
      <c r="G98" s="505"/>
      <c r="H98" s="273"/>
      <c r="J98" s="482">
        <v>1750</v>
      </c>
      <c r="K98" s="506">
        <v>0.9</v>
      </c>
    </row>
    <row r="99" spans="5:11" ht="12.75">
      <c r="E99" s="273"/>
      <c r="F99" s="503"/>
      <c r="G99" s="505"/>
      <c r="H99" s="273"/>
      <c r="J99" s="482">
        <v>2500</v>
      </c>
      <c r="K99" s="506">
        <v>0.32666666666666666</v>
      </c>
    </row>
    <row r="100" spans="5:11" ht="12.75">
      <c r="E100" s="273"/>
      <c r="F100" s="503"/>
      <c r="G100" s="505"/>
      <c r="H100" s="273"/>
      <c r="J100" s="482">
        <v>4000</v>
      </c>
      <c r="K100" s="506">
        <v>0.06</v>
      </c>
    </row>
    <row r="101" spans="5:11" ht="12.75">
      <c r="E101" s="273"/>
      <c r="F101" s="503"/>
      <c r="G101" s="505"/>
      <c r="H101" s="273"/>
      <c r="J101" s="482">
        <v>7500</v>
      </c>
      <c r="K101" s="506">
        <v>0.0033333333333333335</v>
      </c>
    </row>
    <row r="102" spans="5:11" ht="12.75">
      <c r="E102" s="273"/>
      <c r="F102" s="503"/>
      <c r="G102" s="505"/>
      <c r="H102" s="273"/>
      <c r="J102" s="489">
        <v>20000</v>
      </c>
      <c r="K102" s="507">
        <v>0.00016666666666666666</v>
      </c>
    </row>
    <row r="103" spans="5:8" ht="12.75">
      <c r="E103" s="273"/>
      <c r="F103" s="503"/>
      <c r="G103" s="505"/>
      <c r="H103" s="273"/>
    </row>
    <row r="104" spans="5:8" ht="12.75">
      <c r="E104" s="273"/>
      <c r="F104" s="273"/>
      <c r="G104" s="273"/>
      <c r="H104" s="273"/>
    </row>
    <row r="107" spans="8:10" s="1" customFormat="1" ht="12.75">
      <c r="H107" s="501" t="s">
        <v>128</v>
      </c>
      <c r="I107" s="508" t="s">
        <v>128</v>
      </c>
      <c r="J107" s="502" t="s">
        <v>102</v>
      </c>
    </row>
    <row r="108" spans="8:10" ht="12.75">
      <c r="H108" s="509">
        <v>0</v>
      </c>
      <c r="I108" s="478">
        <v>0</v>
      </c>
      <c r="J108" s="481">
        <v>0</v>
      </c>
    </row>
    <row r="109" spans="8:10" ht="12.75">
      <c r="H109" s="510">
        <v>0.08333333333333333</v>
      </c>
      <c r="I109" s="484">
        <v>0.08333333333333333</v>
      </c>
      <c r="J109" s="487">
        <v>0.03532320734722713</v>
      </c>
    </row>
    <row r="110" spans="8:10" ht="12.75">
      <c r="H110" s="510">
        <v>0.5333333333333333</v>
      </c>
      <c r="I110" s="484">
        <v>0.5333333333333333</v>
      </c>
      <c r="J110" s="487">
        <v>0.3691275167785235</v>
      </c>
    </row>
    <row r="111" spans="8:10" ht="12.75">
      <c r="H111" s="510">
        <v>0.86</v>
      </c>
      <c r="I111" s="484">
        <v>0.86</v>
      </c>
      <c r="J111" s="487">
        <v>0.7152949487813494</v>
      </c>
    </row>
    <row r="112" spans="8:10" ht="12.75">
      <c r="H112" s="510">
        <v>0.98</v>
      </c>
      <c r="I112" s="484">
        <v>0.98</v>
      </c>
      <c r="J112" s="487">
        <v>0.9187566231013776</v>
      </c>
    </row>
    <row r="113" spans="8:10" ht="12.75">
      <c r="H113" s="510">
        <v>0.9966666666666667</v>
      </c>
      <c r="I113" s="484">
        <v>0.9966666666666667</v>
      </c>
      <c r="J113" s="487">
        <v>0.9717414341222184</v>
      </c>
    </row>
    <row r="114" spans="8:10" ht="12.75">
      <c r="H114" s="511">
        <v>1</v>
      </c>
      <c r="I114" s="491">
        <v>1</v>
      </c>
      <c r="J114" s="494">
        <v>1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N104"/>
  <sheetViews>
    <sheetView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5.28125" style="1" customWidth="1"/>
    <col min="3" max="3" width="17.8515625" style="0" customWidth="1"/>
    <col min="5" max="5" width="7.8515625" style="0" customWidth="1"/>
    <col min="6" max="6" width="7.28125" style="0" customWidth="1"/>
    <col min="7" max="7" width="5.421875" style="0" customWidth="1"/>
    <col min="8" max="8" width="6.57421875" style="0" customWidth="1"/>
    <col min="9" max="9" width="6.421875" style="0" customWidth="1"/>
    <col min="10" max="10" width="7.57421875" style="0" customWidth="1"/>
    <col min="11" max="11" width="6.7109375" style="0" customWidth="1"/>
    <col min="13" max="13" width="7.8515625" style="0" customWidth="1"/>
    <col min="14" max="14" width="7.28125" style="0" customWidth="1"/>
  </cols>
  <sheetData>
    <row r="2" s="1" customFormat="1" ht="12.75">
      <c r="C2" s="1" t="s">
        <v>66</v>
      </c>
    </row>
    <row r="3" spans="2:3" s="468" customFormat="1" ht="12.75">
      <c r="B3" s="469"/>
      <c r="C3" s="468" t="s">
        <v>3</v>
      </c>
    </row>
    <row r="6" spans="2:3" ht="12.75">
      <c r="B6" s="1" t="s">
        <v>823</v>
      </c>
      <c r="C6" t="s">
        <v>129</v>
      </c>
    </row>
    <row r="7" ht="12.75">
      <c r="C7" t="s">
        <v>135</v>
      </c>
    </row>
    <row r="8" ht="12.75">
      <c r="C8" t="s">
        <v>136</v>
      </c>
    </row>
    <row r="10" ht="12.75">
      <c r="C10" t="s">
        <v>137</v>
      </c>
    </row>
    <row r="12" spans="4:6" ht="12.75">
      <c r="D12" s="512" t="s">
        <v>873</v>
      </c>
      <c r="E12" s="513" t="s">
        <v>645</v>
      </c>
      <c r="F12" s="502" t="s">
        <v>646</v>
      </c>
    </row>
    <row r="13" spans="4:6" ht="12.75">
      <c r="D13" s="514">
        <v>1</v>
      </c>
      <c r="E13" s="515">
        <f>10000+D13*1000</f>
        <v>11000</v>
      </c>
      <c r="F13" s="516">
        <f>1000*1.1^D13</f>
        <v>1100</v>
      </c>
    </row>
    <row r="14" spans="4:6" ht="12.75">
      <c r="D14" s="517">
        <v>5</v>
      </c>
      <c r="E14" s="518">
        <f>10000+D14*1000</f>
        <v>15000</v>
      </c>
      <c r="F14" s="516">
        <f>1000*1.1^D14</f>
        <v>1610.5100000000004</v>
      </c>
    </row>
    <row r="15" spans="4:6" ht="12.75">
      <c r="D15" s="517">
        <v>10</v>
      </c>
      <c r="E15" s="518">
        <f>10000+D15*1000</f>
        <v>20000</v>
      </c>
      <c r="F15" s="516">
        <f>1000*1.1^D15</f>
        <v>2593.742460100002</v>
      </c>
    </row>
    <row r="16" spans="4:6" ht="12.75">
      <c r="D16" s="519">
        <v>50</v>
      </c>
      <c r="E16" s="520">
        <f>10000+D16*1000</f>
        <v>60000</v>
      </c>
      <c r="F16" s="521">
        <f>1000*1.1^D16</f>
        <v>117390.85287969571</v>
      </c>
    </row>
    <row r="18" ht="12.75">
      <c r="C18" t="s">
        <v>138</v>
      </c>
    </row>
    <row r="20" spans="2:3" s="468" customFormat="1" ht="12.75">
      <c r="B20" s="469"/>
      <c r="C20" s="468" t="s">
        <v>139</v>
      </c>
    </row>
    <row r="21" spans="2:3" s="468" customFormat="1" ht="12.75">
      <c r="B21" s="469"/>
      <c r="C21" s="468" t="s">
        <v>140</v>
      </c>
    </row>
    <row r="23" ht="12.75">
      <c r="C23" t="s">
        <v>141</v>
      </c>
    </row>
    <row r="25" spans="2:3" s="468" customFormat="1" ht="12.75">
      <c r="B25" s="469"/>
      <c r="C25" s="468" t="s">
        <v>142</v>
      </c>
    </row>
    <row r="27" ht="12.75">
      <c r="C27" t="s">
        <v>143</v>
      </c>
    </row>
    <row r="28" ht="12.75">
      <c r="C28" t="s">
        <v>144</v>
      </c>
    </row>
    <row r="30" spans="2:3" s="468" customFormat="1" ht="12.75">
      <c r="B30" s="469"/>
      <c r="C30" s="468" t="s">
        <v>145</v>
      </c>
    </row>
    <row r="32" ht="12.75">
      <c r="C32" t="s">
        <v>146</v>
      </c>
    </row>
    <row r="33" ht="12.75">
      <c r="C33" t="s">
        <v>147</v>
      </c>
    </row>
    <row r="34" ht="12.75">
      <c r="C34" t="s">
        <v>148</v>
      </c>
    </row>
    <row r="35" ht="12.75">
      <c r="C35" t="s">
        <v>149</v>
      </c>
    </row>
    <row r="37" spans="2:3" s="468" customFormat="1" ht="12.75">
      <c r="B37" s="469"/>
      <c r="C37" s="468" t="s">
        <v>150</v>
      </c>
    </row>
    <row r="40" spans="2:3" ht="12.75">
      <c r="B40" s="1" t="s">
        <v>841</v>
      </c>
      <c r="C40" t="s">
        <v>151</v>
      </c>
    </row>
    <row r="41" ht="12.75">
      <c r="C41" t="s">
        <v>152</v>
      </c>
    </row>
    <row r="43" spans="3:14" s="2" customFormat="1" ht="12.75">
      <c r="C43" s="433" t="s">
        <v>153</v>
      </c>
      <c r="D43" s="46" t="s">
        <v>793</v>
      </c>
      <c r="F43" s="501" t="s">
        <v>988</v>
      </c>
      <c r="G43" s="508" t="s">
        <v>985</v>
      </c>
      <c r="H43" s="508" t="s">
        <v>983</v>
      </c>
      <c r="I43" s="508" t="s">
        <v>984</v>
      </c>
      <c r="J43" s="522" t="s">
        <v>987</v>
      </c>
      <c r="K43" s="508" t="s">
        <v>989</v>
      </c>
      <c r="L43" s="508" t="s">
        <v>100</v>
      </c>
      <c r="M43" s="508" t="s">
        <v>101</v>
      </c>
      <c r="N43" s="502" t="s">
        <v>102</v>
      </c>
    </row>
    <row r="44" spans="2:14" s="3" customFormat="1" ht="12.75">
      <c r="B44" s="2"/>
      <c r="C44" s="474" t="s">
        <v>154</v>
      </c>
      <c r="D44" s="475">
        <v>5</v>
      </c>
      <c r="F44" s="476">
        <v>15</v>
      </c>
      <c r="G44" s="477">
        <v>10</v>
      </c>
      <c r="H44" s="480">
        <f>D44/$D$50</f>
        <v>0.05</v>
      </c>
      <c r="I44" s="480">
        <f>H44</f>
        <v>0.05</v>
      </c>
      <c r="J44" s="478">
        <f>H44*20/G44</f>
        <v>0.1</v>
      </c>
      <c r="K44" s="477">
        <f>H44*F44</f>
        <v>0.75</v>
      </c>
      <c r="L44" s="480">
        <f>H44*(F44-$K$50)^2</f>
        <v>165.3125</v>
      </c>
      <c r="M44" s="478">
        <f>I44</f>
        <v>0.05</v>
      </c>
      <c r="N44" s="481">
        <f>K44/K50</f>
        <v>0.010344827586206896</v>
      </c>
    </row>
    <row r="45" spans="2:14" s="3" customFormat="1" ht="12.75">
      <c r="B45" s="2"/>
      <c r="C45" s="344" t="s">
        <v>155</v>
      </c>
      <c r="D45" s="159">
        <v>35</v>
      </c>
      <c r="F45" s="482">
        <v>35</v>
      </c>
      <c r="G45" s="483">
        <v>30</v>
      </c>
      <c r="H45" s="486">
        <f>D45/$D$50</f>
        <v>0.35</v>
      </c>
      <c r="I45" s="486">
        <f>I44+H45</f>
        <v>0.39999999999999997</v>
      </c>
      <c r="J45" s="484">
        <f>H45*20/G45</f>
        <v>0.23333333333333334</v>
      </c>
      <c r="K45" s="483">
        <f>H45*F45</f>
        <v>12.25</v>
      </c>
      <c r="L45" s="480">
        <f>H45*(F45-$K$50)^2</f>
        <v>492.18749999999994</v>
      </c>
      <c r="M45" s="478">
        <f>I45</f>
        <v>0.39999999999999997</v>
      </c>
      <c r="N45" s="487">
        <f>N44+K45/$K$50</f>
        <v>0.1793103448275862</v>
      </c>
    </row>
    <row r="46" spans="2:14" s="3" customFormat="1" ht="12.75">
      <c r="B46" s="2"/>
      <c r="C46" s="344" t="s">
        <v>156</v>
      </c>
      <c r="D46" s="159">
        <v>46</v>
      </c>
      <c r="F46" s="482">
        <v>75</v>
      </c>
      <c r="G46" s="483">
        <v>50</v>
      </c>
      <c r="H46" s="486">
        <f>D46/$D$50</f>
        <v>0.46</v>
      </c>
      <c r="I46" s="486">
        <f>I45+H46</f>
        <v>0.86</v>
      </c>
      <c r="J46" s="484">
        <f>H46*20/G46</f>
        <v>0.18400000000000002</v>
      </c>
      <c r="K46" s="483">
        <f>H46*F46</f>
        <v>34.5</v>
      </c>
      <c r="L46" s="480">
        <f>H46*(F46-$K$50)^2</f>
        <v>2.875</v>
      </c>
      <c r="M46" s="478">
        <f>I46</f>
        <v>0.86</v>
      </c>
      <c r="N46" s="487">
        <f>N45+K46/$K$50</f>
        <v>0.6551724137931034</v>
      </c>
    </row>
    <row r="47" spans="2:14" s="3" customFormat="1" ht="12.75">
      <c r="B47" s="2"/>
      <c r="C47" s="344" t="s">
        <v>157</v>
      </c>
      <c r="D47" s="159">
        <v>12</v>
      </c>
      <c r="F47" s="482">
        <v>150</v>
      </c>
      <c r="G47" s="483">
        <v>100</v>
      </c>
      <c r="H47" s="486">
        <f>D47/$D$50</f>
        <v>0.12</v>
      </c>
      <c r="I47" s="486">
        <f>I46+H47</f>
        <v>0.98</v>
      </c>
      <c r="J47" s="484">
        <f>H47*20/G47</f>
        <v>0.024</v>
      </c>
      <c r="K47" s="483">
        <f>H47*F47</f>
        <v>18</v>
      </c>
      <c r="L47" s="480">
        <f>H47*(F47-$K$50)^2</f>
        <v>720.75</v>
      </c>
      <c r="M47" s="478">
        <f>I47</f>
        <v>0.98</v>
      </c>
      <c r="N47" s="487">
        <f>N46+K47/$K$50</f>
        <v>0.903448275862069</v>
      </c>
    </row>
    <row r="48" spans="2:14" s="3" customFormat="1" ht="12.75">
      <c r="B48" s="2"/>
      <c r="C48" s="488" t="s">
        <v>158</v>
      </c>
      <c r="D48" s="162">
        <v>2</v>
      </c>
      <c r="F48" s="489">
        <v>350</v>
      </c>
      <c r="G48" s="490">
        <v>300</v>
      </c>
      <c r="H48" s="493">
        <f>D48/$D$50</f>
        <v>0.02</v>
      </c>
      <c r="I48" s="493">
        <f>I47+H48</f>
        <v>1</v>
      </c>
      <c r="J48" s="491">
        <f>H48*20/G48</f>
        <v>0.0013333333333333335</v>
      </c>
      <c r="K48" s="490">
        <f>H48*F48</f>
        <v>7</v>
      </c>
      <c r="L48" s="523">
        <f>H48*(F48-$K$50)^2</f>
        <v>1540.125</v>
      </c>
      <c r="M48" s="524">
        <f>I48</f>
        <v>1</v>
      </c>
      <c r="N48" s="494">
        <f>N47+K48/$K$50</f>
        <v>1</v>
      </c>
    </row>
    <row r="49" spans="2:12" s="3" customFormat="1" ht="12.75">
      <c r="B49" s="2"/>
      <c r="C49" s="279"/>
      <c r="D49" s="279"/>
      <c r="L49" s="225"/>
    </row>
    <row r="50" spans="2:14" s="495" customFormat="1" ht="12.75">
      <c r="B50" s="525"/>
      <c r="C50" s="496" t="s">
        <v>633</v>
      </c>
      <c r="D50" s="497">
        <f>SUM(D44:D48)</f>
        <v>100</v>
      </c>
      <c r="E50" s="472"/>
      <c r="F50" s="472"/>
      <c r="G50" s="472"/>
      <c r="H50" s="472">
        <f>SUM(H44:H48)</f>
        <v>1</v>
      </c>
      <c r="I50" s="472"/>
      <c r="J50" s="472"/>
      <c r="K50" s="472">
        <f>SUM(K44:K48)</f>
        <v>72.5</v>
      </c>
      <c r="L50" s="498">
        <f>SUM(L44:L48)</f>
        <v>2921.25</v>
      </c>
      <c r="M50" s="472"/>
      <c r="N50" s="473"/>
    </row>
    <row r="52" ht="12.75">
      <c r="C52" t="s">
        <v>159</v>
      </c>
    </row>
    <row r="53" ht="12.75">
      <c r="C53" t="s">
        <v>110</v>
      </c>
    </row>
    <row r="55" ht="12.75">
      <c r="C55" t="s">
        <v>112</v>
      </c>
    </row>
    <row r="57" s="468" customFormat="1" ht="12.75">
      <c r="C57" s="468" t="s">
        <v>111</v>
      </c>
    </row>
    <row r="59" ht="12.75">
      <c r="C59" t="s">
        <v>160</v>
      </c>
    </row>
    <row r="60" ht="12.75">
      <c r="C60" t="s">
        <v>114</v>
      </c>
    </row>
    <row r="62" s="468" customFormat="1" ht="12.75">
      <c r="C62" s="468" t="s">
        <v>115</v>
      </c>
    </row>
    <row r="64" ht="12.75">
      <c r="C64" t="s">
        <v>161</v>
      </c>
    </row>
    <row r="66" spans="2:3" s="468" customFormat="1" ht="12.75">
      <c r="B66" s="469"/>
      <c r="C66" s="468" t="s">
        <v>162</v>
      </c>
    </row>
    <row r="68" ht="12.75">
      <c r="C68" t="s">
        <v>163</v>
      </c>
    </row>
    <row r="69" ht="12.75">
      <c r="C69" t="s">
        <v>164</v>
      </c>
    </row>
    <row r="71" s="468" customFormat="1" ht="12.75">
      <c r="C71" s="468" t="s">
        <v>120</v>
      </c>
    </row>
    <row r="72" s="468" customFormat="1" ht="12.75">
      <c r="C72" s="468" t="s">
        <v>165</v>
      </c>
    </row>
    <row r="74" ht="12.75">
      <c r="C74" t="s">
        <v>166</v>
      </c>
    </row>
    <row r="76" spans="2:3" s="468" customFormat="1" ht="12.75">
      <c r="B76" s="469"/>
      <c r="C76" s="468" t="s">
        <v>167</v>
      </c>
    </row>
    <row r="78" ht="12.75">
      <c r="C78" t="s">
        <v>124</v>
      </c>
    </row>
    <row r="79" ht="12.75">
      <c r="C79" t="s">
        <v>125</v>
      </c>
    </row>
    <row r="81" ht="12.75">
      <c r="C81" t="s">
        <v>126</v>
      </c>
    </row>
    <row r="83" s="468" customFormat="1" ht="12.75">
      <c r="C83" s="468" t="s">
        <v>168</v>
      </c>
    </row>
    <row r="85" spans="10:11" ht="12.75">
      <c r="J85" s="501" t="s">
        <v>988</v>
      </c>
      <c r="K85" s="526" t="s">
        <v>987</v>
      </c>
    </row>
    <row r="86" spans="10:11" ht="12.75">
      <c r="J86" s="476">
        <v>15</v>
      </c>
      <c r="K86" s="481">
        <v>0.1</v>
      </c>
    </row>
    <row r="87" spans="10:11" ht="12.75">
      <c r="J87" s="482">
        <v>35</v>
      </c>
      <c r="K87" s="487">
        <v>0.23333333333333334</v>
      </c>
    </row>
    <row r="88" spans="10:11" ht="12.75">
      <c r="J88" s="482">
        <v>75</v>
      </c>
      <c r="K88" s="487">
        <v>0.18400000000000002</v>
      </c>
    </row>
    <row r="89" spans="10:11" ht="12.75">
      <c r="J89" s="482">
        <v>150</v>
      </c>
      <c r="K89" s="487">
        <v>0.024</v>
      </c>
    </row>
    <row r="90" spans="10:11" ht="12.75">
      <c r="J90" s="489">
        <v>350</v>
      </c>
      <c r="K90" s="494">
        <v>0.0013333333333333335</v>
      </c>
    </row>
    <row r="98" spans="7:9" ht="12.75">
      <c r="G98" s="501" t="s">
        <v>128</v>
      </c>
      <c r="H98" s="508" t="s">
        <v>128</v>
      </c>
      <c r="I98" s="502" t="s">
        <v>102</v>
      </c>
    </row>
    <row r="99" spans="7:9" ht="12.75">
      <c r="G99" s="509">
        <v>0</v>
      </c>
      <c r="H99" s="478">
        <v>0</v>
      </c>
      <c r="I99" s="481">
        <v>0</v>
      </c>
    </row>
    <row r="100" spans="7:9" ht="12.75">
      <c r="G100" s="510">
        <v>0.05</v>
      </c>
      <c r="H100" s="484">
        <v>0.05</v>
      </c>
      <c r="I100" s="487">
        <v>0.010344827586206896</v>
      </c>
    </row>
    <row r="101" spans="7:9" ht="12.75">
      <c r="G101" s="510">
        <v>0.4</v>
      </c>
      <c r="H101" s="484">
        <v>0.4</v>
      </c>
      <c r="I101" s="487">
        <v>0.1793103448275862</v>
      </c>
    </row>
    <row r="102" spans="7:9" ht="12.75">
      <c r="G102" s="510">
        <v>0.86</v>
      </c>
      <c r="H102" s="484">
        <v>0.86</v>
      </c>
      <c r="I102" s="487">
        <v>0.6551724137931034</v>
      </c>
    </row>
    <row r="103" spans="7:9" ht="12.75">
      <c r="G103" s="510">
        <v>0.98</v>
      </c>
      <c r="H103" s="484">
        <v>0.98</v>
      </c>
      <c r="I103" s="487">
        <v>0.903448275862069</v>
      </c>
    </row>
    <row r="104" spans="7:9" ht="12.75">
      <c r="G104" s="511">
        <v>1</v>
      </c>
      <c r="H104" s="491">
        <v>1</v>
      </c>
      <c r="I104" s="494">
        <v>1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C2:E34"/>
  <sheetViews>
    <sheetView workbookViewId="0" topLeftCell="A1">
      <selection activeCell="A1" sqref="A1"/>
    </sheetView>
  </sheetViews>
  <sheetFormatPr defaultColWidth="11.421875" defaultRowHeight="12.75"/>
  <sheetData>
    <row r="2" ht="12.75">
      <c r="C2" s="1" t="s">
        <v>169</v>
      </c>
    </row>
    <row r="4" spans="3:5" ht="15">
      <c r="C4" s="527" t="s">
        <v>170</v>
      </c>
      <c r="D4" s="528" t="s">
        <v>171</v>
      </c>
      <c r="E4" s="529" t="s">
        <v>172</v>
      </c>
    </row>
    <row r="5" spans="3:5" ht="15">
      <c r="C5" s="530" t="s">
        <v>173</v>
      </c>
      <c r="D5" s="531">
        <v>320</v>
      </c>
      <c r="E5" s="532">
        <v>40</v>
      </c>
    </row>
    <row r="6" spans="3:5" ht="12.75">
      <c r="C6" s="533" t="s">
        <v>959</v>
      </c>
      <c r="D6" s="534">
        <v>270</v>
      </c>
      <c r="E6" s="535">
        <v>32</v>
      </c>
    </row>
    <row r="7" spans="3:5" ht="12.75">
      <c r="C7" s="533" t="s">
        <v>174</v>
      </c>
      <c r="D7" s="534">
        <v>240</v>
      </c>
      <c r="E7" s="535">
        <v>30</v>
      </c>
    </row>
    <row r="8" spans="3:5" ht="12.75">
      <c r="C8" s="533" t="s">
        <v>175</v>
      </c>
      <c r="D8" s="534">
        <v>175</v>
      </c>
      <c r="E8" s="535">
        <v>25</v>
      </c>
    </row>
    <row r="9" spans="3:5" ht="12.75">
      <c r="C9" s="533" t="s">
        <v>176</v>
      </c>
      <c r="D9" s="534">
        <v>180</v>
      </c>
      <c r="E9" s="535">
        <v>14</v>
      </c>
    </row>
    <row r="10" spans="3:5" ht="12.75">
      <c r="C10" s="533" t="s">
        <v>177</v>
      </c>
      <c r="D10" s="534">
        <v>175</v>
      </c>
      <c r="E10" s="535">
        <v>15</v>
      </c>
    </row>
    <row r="11" spans="3:5" ht="12.75">
      <c r="C11" s="533" t="s">
        <v>178</v>
      </c>
      <c r="D11" s="534">
        <v>170</v>
      </c>
      <c r="E11" s="535">
        <v>12</v>
      </c>
    </row>
    <row r="12" spans="3:5" ht="12.75">
      <c r="C12" s="533" t="s">
        <v>179</v>
      </c>
      <c r="D12" s="534">
        <v>150</v>
      </c>
      <c r="E12" s="535">
        <v>8</v>
      </c>
    </row>
    <row r="13" spans="3:5" ht="12.75">
      <c r="C13" s="533" t="s">
        <v>180</v>
      </c>
      <c r="D13" s="534">
        <v>150</v>
      </c>
      <c r="E13" s="535">
        <v>16</v>
      </c>
    </row>
    <row r="14" spans="3:5" ht="12.75">
      <c r="C14" s="533" t="s">
        <v>181</v>
      </c>
      <c r="D14" s="534">
        <v>140</v>
      </c>
      <c r="E14" s="535">
        <v>8</v>
      </c>
    </row>
    <row r="15" spans="3:5" ht="12.75">
      <c r="C15" s="533" t="s">
        <v>182</v>
      </c>
      <c r="D15" s="534">
        <v>190</v>
      </c>
      <c r="E15" s="535">
        <v>22</v>
      </c>
    </row>
    <row r="16" spans="3:5" ht="12.75">
      <c r="C16" s="533" t="s">
        <v>183</v>
      </c>
      <c r="D16" s="534">
        <v>140</v>
      </c>
      <c r="E16" s="535">
        <v>20</v>
      </c>
    </row>
    <row r="17" spans="3:5" ht="12.75">
      <c r="C17" s="533" t="s">
        <v>184</v>
      </c>
      <c r="D17" s="534">
        <v>130</v>
      </c>
      <c r="E17" s="535">
        <v>14</v>
      </c>
    </row>
    <row r="18" spans="3:5" ht="12.75">
      <c r="C18" s="533" t="s">
        <v>185</v>
      </c>
      <c r="D18" s="534">
        <v>130</v>
      </c>
      <c r="E18" s="535">
        <v>9</v>
      </c>
    </row>
    <row r="19" spans="3:5" ht="12.75">
      <c r="C19" s="533" t="s">
        <v>186</v>
      </c>
      <c r="D19" s="534">
        <v>120</v>
      </c>
      <c r="E19" s="535">
        <v>7</v>
      </c>
    </row>
    <row r="20" spans="3:5" ht="12.75">
      <c r="C20" s="533" t="s">
        <v>187</v>
      </c>
      <c r="D20" s="534">
        <v>120</v>
      </c>
      <c r="E20" s="535">
        <v>8</v>
      </c>
    </row>
    <row r="21" spans="3:5" ht="12.75">
      <c r="C21" s="533" t="s">
        <v>188</v>
      </c>
      <c r="D21" s="534">
        <v>120</v>
      </c>
      <c r="E21" s="535">
        <v>14</v>
      </c>
    </row>
    <row r="22" spans="3:5" ht="12.75">
      <c r="C22" s="533" t="s">
        <v>189</v>
      </c>
      <c r="D22" s="534">
        <v>80</v>
      </c>
      <c r="E22" s="535">
        <v>4</v>
      </c>
    </row>
    <row r="23" spans="3:5" ht="12.75">
      <c r="C23" s="533" t="s">
        <v>190</v>
      </c>
      <c r="D23" s="534">
        <v>80</v>
      </c>
      <c r="E23" s="535">
        <v>6</v>
      </c>
    </row>
    <row r="24" spans="3:5" ht="12.75">
      <c r="C24" s="533" t="s">
        <v>191</v>
      </c>
      <c r="D24" s="534">
        <v>70</v>
      </c>
      <c r="E24" s="535">
        <v>8</v>
      </c>
    </row>
    <row r="25" spans="3:5" ht="12.75">
      <c r="C25" s="533" t="s">
        <v>192</v>
      </c>
      <c r="D25" s="534">
        <v>60</v>
      </c>
      <c r="E25" s="535">
        <v>10</v>
      </c>
    </row>
    <row r="26" spans="3:5" ht="12.75">
      <c r="C26" s="536" t="s">
        <v>193</v>
      </c>
      <c r="D26" s="537">
        <v>20</v>
      </c>
      <c r="E26" s="538">
        <v>2</v>
      </c>
    </row>
    <row r="27" spans="3:5" ht="12.75">
      <c r="C27" s="539" t="s">
        <v>194</v>
      </c>
      <c r="D27" s="540"/>
      <c r="E27" s="540"/>
    </row>
    <row r="28" spans="3:5" ht="12.75">
      <c r="C28" s="539"/>
      <c r="D28" s="539"/>
      <c r="E28" s="539"/>
    </row>
    <row r="29" spans="3:5" ht="15">
      <c r="C29" s="541" t="s">
        <v>195</v>
      </c>
      <c r="D29" s="542"/>
      <c r="E29" s="542"/>
    </row>
    <row r="30" spans="3:5" ht="15">
      <c r="C30" s="541" t="s">
        <v>196</v>
      </c>
      <c r="D30" s="542"/>
      <c r="E30" s="542"/>
    </row>
    <row r="31" spans="3:5" ht="15">
      <c r="C31" s="541"/>
      <c r="D31" s="542"/>
      <c r="E31" s="542"/>
    </row>
    <row r="32" ht="12.75">
      <c r="C32" s="543" t="s">
        <v>197</v>
      </c>
    </row>
    <row r="33" ht="12.75">
      <c r="C33" s="541" t="s">
        <v>198</v>
      </c>
    </row>
    <row r="34" ht="12.75">
      <c r="C34" s="544" t="s">
        <v>199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A1" sqref="A1"/>
    </sheetView>
  </sheetViews>
  <sheetFormatPr defaultColWidth="11.421875" defaultRowHeight="12.75"/>
  <sheetData>
    <row r="1" spans="1:2" ht="12.75">
      <c r="A1" s="26"/>
      <c r="B1" s="2"/>
    </row>
    <row r="2" ht="12.75">
      <c r="B2" s="2"/>
    </row>
    <row r="3" ht="12.75">
      <c r="B3" s="2"/>
    </row>
    <row r="4" spans="1:9" ht="12.75">
      <c r="A4" s="2"/>
      <c r="B4" s="27" t="s">
        <v>626</v>
      </c>
      <c r="C4" s="28" t="s">
        <v>627</v>
      </c>
      <c r="D4" s="29" t="s">
        <v>628</v>
      </c>
      <c r="E4" s="29" t="s">
        <v>629</v>
      </c>
      <c r="F4" s="29" t="s">
        <v>630</v>
      </c>
      <c r="G4" s="29" t="s">
        <v>631</v>
      </c>
      <c r="H4" s="30" t="s">
        <v>632</v>
      </c>
      <c r="I4" s="27" t="s">
        <v>633</v>
      </c>
    </row>
    <row r="5" spans="2:9" ht="12.75">
      <c r="B5" s="31" t="s">
        <v>634</v>
      </c>
      <c r="C5" s="32">
        <v>25</v>
      </c>
      <c r="D5" s="11">
        <v>15</v>
      </c>
      <c r="E5" s="11">
        <v>90</v>
      </c>
      <c r="F5" s="11">
        <v>30</v>
      </c>
      <c r="G5" s="11">
        <v>50</v>
      </c>
      <c r="H5" s="33">
        <v>10</v>
      </c>
      <c r="I5" s="34"/>
    </row>
    <row r="6" spans="2:9" ht="12.75">
      <c r="B6" s="35" t="s">
        <v>635</v>
      </c>
      <c r="C6" s="36">
        <v>5</v>
      </c>
      <c r="D6" s="14">
        <v>35</v>
      </c>
      <c r="E6" s="14">
        <v>60</v>
      </c>
      <c r="F6" s="14">
        <v>25</v>
      </c>
      <c r="G6" s="14">
        <v>35</v>
      </c>
      <c r="H6" s="37">
        <v>30</v>
      </c>
      <c r="I6" s="38"/>
    </row>
    <row r="7" spans="2:9" ht="12.75">
      <c r="B7" s="39" t="s">
        <v>636</v>
      </c>
      <c r="C7" s="40">
        <v>10</v>
      </c>
      <c r="D7" s="41">
        <v>10</v>
      </c>
      <c r="E7" s="41">
        <v>70</v>
      </c>
      <c r="F7" s="41">
        <v>50</v>
      </c>
      <c r="G7" s="41">
        <v>100</v>
      </c>
      <c r="H7" s="42">
        <v>30</v>
      </c>
      <c r="I7" s="43"/>
    </row>
    <row r="8" ht="12.75">
      <c r="B8" s="2"/>
    </row>
    <row r="9" ht="12.75">
      <c r="B9" s="2"/>
    </row>
    <row r="10" ht="12.75">
      <c r="B10" s="2"/>
    </row>
    <row r="11" spans="1:11" ht="12.75">
      <c r="A11" s="2"/>
      <c r="B11" s="44" t="s">
        <v>637</v>
      </c>
      <c r="C11" s="45" t="s">
        <v>638</v>
      </c>
      <c r="D11" s="46" t="s">
        <v>639</v>
      </c>
      <c r="E11" s="2"/>
      <c r="F11" s="2"/>
      <c r="G11" s="27" t="s">
        <v>640</v>
      </c>
      <c r="H11" s="28" t="s">
        <v>641</v>
      </c>
      <c r="I11" s="29" t="s">
        <v>642</v>
      </c>
      <c r="J11" s="47" t="s">
        <v>643</v>
      </c>
      <c r="K11" s="48" t="s">
        <v>644</v>
      </c>
    </row>
    <row r="12" spans="2:11" ht="12.75">
      <c r="B12" s="49" t="s">
        <v>645</v>
      </c>
      <c r="C12" s="50">
        <v>1000</v>
      </c>
      <c r="D12" s="51">
        <v>150</v>
      </c>
      <c r="G12" s="52">
        <v>0</v>
      </c>
      <c r="H12" s="32">
        <v>49</v>
      </c>
      <c r="I12" s="11"/>
      <c r="J12" s="11"/>
      <c r="K12" s="53"/>
    </row>
    <row r="13" spans="2:11" ht="12.75">
      <c r="B13" s="35" t="s">
        <v>646</v>
      </c>
      <c r="C13" s="36">
        <v>500</v>
      </c>
      <c r="D13" s="54">
        <v>0</v>
      </c>
      <c r="G13" s="55">
        <v>1</v>
      </c>
      <c r="H13" s="36">
        <v>154</v>
      </c>
      <c r="I13" s="14"/>
      <c r="J13" s="14"/>
      <c r="K13" s="54"/>
    </row>
    <row r="14" spans="2:11" ht="12.75">
      <c r="B14" s="35" t="s">
        <v>647</v>
      </c>
      <c r="C14" s="36">
        <v>3500</v>
      </c>
      <c r="D14" s="54">
        <v>300</v>
      </c>
      <c r="G14" s="55">
        <v>2</v>
      </c>
      <c r="H14" s="36">
        <v>172</v>
      </c>
      <c r="I14" s="14"/>
      <c r="J14" s="14"/>
      <c r="K14" s="54"/>
    </row>
    <row r="15" spans="2:11" ht="12.75">
      <c r="B15" s="35" t="s">
        <v>648</v>
      </c>
      <c r="C15" s="36">
        <v>750</v>
      </c>
      <c r="D15" s="54">
        <v>-100</v>
      </c>
      <c r="G15" s="55">
        <v>3</v>
      </c>
      <c r="H15" s="36">
        <v>97</v>
      </c>
      <c r="I15" s="14"/>
      <c r="J15" s="14"/>
      <c r="K15" s="54"/>
    </row>
    <row r="16" spans="2:11" ht="12.75">
      <c r="B16" s="39" t="s">
        <v>649</v>
      </c>
      <c r="C16" s="40">
        <v>800</v>
      </c>
      <c r="D16" s="56">
        <v>100</v>
      </c>
      <c r="G16" s="57" t="s">
        <v>650</v>
      </c>
      <c r="H16" s="58">
        <v>69</v>
      </c>
      <c r="I16" s="17"/>
      <c r="J16" s="17"/>
      <c r="K16" s="59"/>
    </row>
    <row r="17" spans="2:11" ht="12.75">
      <c r="B17" s="60" t="s">
        <v>633</v>
      </c>
      <c r="C17" s="61"/>
      <c r="D17" s="62"/>
      <c r="G17" s="27" t="s">
        <v>633</v>
      </c>
      <c r="H17" s="63"/>
      <c r="I17" s="64"/>
      <c r="J17" s="64"/>
      <c r="K17" s="24"/>
    </row>
    <row r="18" ht="12.75">
      <c r="B18" s="2"/>
    </row>
    <row r="19" ht="12.75">
      <c r="B19" s="2"/>
    </row>
    <row r="20" ht="12.75">
      <c r="B20" s="2"/>
    </row>
    <row r="21" spans="1:9" ht="12.75">
      <c r="A21" s="2"/>
      <c r="B21" s="44" t="s">
        <v>626</v>
      </c>
      <c r="C21" s="45" t="s">
        <v>641</v>
      </c>
      <c r="D21" s="46" t="s">
        <v>642</v>
      </c>
      <c r="E21" s="2"/>
      <c r="F21" s="2"/>
      <c r="G21" s="2"/>
      <c r="H21" s="2"/>
      <c r="I21" s="2"/>
    </row>
    <row r="22" spans="2:4" ht="12.75">
      <c r="B22" s="49" t="s">
        <v>627</v>
      </c>
      <c r="C22" s="50">
        <v>25</v>
      </c>
      <c r="D22" s="51"/>
    </row>
    <row r="23" spans="2:4" ht="12.75">
      <c r="B23" s="35" t="s">
        <v>628</v>
      </c>
      <c r="C23" s="36">
        <v>15</v>
      </c>
      <c r="D23" s="54"/>
    </row>
    <row r="24" spans="2:4" ht="12.75">
      <c r="B24" s="35" t="s">
        <v>629</v>
      </c>
      <c r="C24" s="36">
        <v>90</v>
      </c>
      <c r="D24" s="54"/>
    </row>
    <row r="25" spans="2:4" ht="12.75">
      <c r="B25" s="35" t="s">
        <v>630</v>
      </c>
      <c r="C25" s="36">
        <v>30</v>
      </c>
      <c r="D25" s="54"/>
    </row>
    <row r="26" spans="2:4" ht="12.75">
      <c r="B26" s="35" t="s">
        <v>631</v>
      </c>
      <c r="C26" s="36">
        <v>50</v>
      </c>
      <c r="D26" s="54"/>
    </row>
    <row r="27" spans="2:4" ht="12.75">
      <c r="B27" s="39" t="s">
        <v>632</v>
      </c>
      <c r="C27" s="40">
        <v>10</v>
      </c>
      <c r="D27" s="56"/>
    </row>
    <row r="28" spans="2:4" ht="12.75">
      <c r="B28" s="60" t="s">
        <v>633</v>
      </c>
      <c r="C28" s="61"/>
      <c r="D28" s="62"/>
    </row>
    <row r="29" ht="12.75">
      <c r="B29" s="2"/>
    </row>
    <row r="30" ht="12.75">
      <c r="B30" s="2"/>
    </row>
    <row r="31" ht="12.75">
      <c r="B31" s="2"/>
    </row>
    <row r="32" spans="1:9" ht="12.75">
      <c r="A32" s="2"/>
      <c r="B32" s="27" t="s">
        <v>638</v>
      </c>
      <c r="C32" s="28" t="s">
        <v>641</v>
      </c>
      <c r="D32" s="29" t="s">
        <v>642</v>
      </c>
      <c r="E32" s="47" t="s">
        <v>651</v>
      </c>
      <c r="F32" s="29" t="s">
        <v>652</v>
      </c>
      <c r="G32" s="29" t="s">
        <v>643</v>
      </c>
      <c r="H32" s="29" t="s">
        <v>653</v>
      </c>
      <c r="I32" s="48" t="s">
        <v>644</v>
      </c>
    </row>
    <row r="33" spans="2:9" ht="12.75">
      <c r="B33" s="31" t="s">
        <v>654</v>
      </c>
      <c r="C33" s="32">
        <v>12</v>
      </c>
      <c r="D33" s="11"/>
      <c r="E33" s="11"/>
      <c r="F33" s="11"/>
      <c r="G33" s="11"/>
      <c r="H33" s="11"/>
      <c r="I33" s="53"/>
    </row>
    <row r="34" spans="2:9" ht="12.75">
      <c r="B34" s="35" t="s">
        <v>655</v>
      </c>
      <c r="C34" s="36">
        <v>25</v>
      </c>
      <c r="D34" s="14"/>
      <c r="E34" s="14"/>
      <c r="F34" s="14"/>
      <c r="G34" s="14"/>
      <c r="H34" s="14"/>
      <c r="I34" s="54"/>
    </row>
    <row r="35" spans="2:9" ht="12.75">
      <c r="B35" s="35" t="s">
        <v>656</v>
      </c>
      <c r="C35" s="36">
        <v>37</v>
      </c>
      <c r="D35" s="14"/>
      <c r="E35" s="14"/>
      <c r="F35" s="14"/>
      <c r="G35" s="14"/>
      <c r="H35" s="14"/>
      <c r="I35" s="54"/>
    </row>
    <row r="36" spans="2:9" ht="12.75">
      <c r="B36" s="35" t="s">
        <v>657</v>
      </c>
      <c r="C36" s="36">
        <v>31</v>
      </c>
      <c r="D36" s="14"/>
      <c r="E36" s="14"/>
      <c r="F36" s="14"/>
      <c r="G36" s="14"/>
      <c r="H36" s="14"/>
      <c r="I36" s="54"/>
    </row>
    <row r="37" spans="2:9" ht="12.75">
      <c r="B37" s="35" t="s">
        <v>658</v>
      </c>
      <c r="C37" s="36">
        <v>16</v>
      </c>
      <c r="D37" s="14"/>
      <c r="E37" s="14"/>
      <c r="F37" s="14"/>
      <c r="G37" s="14"/>
      <c r="H37" s="14"/>
      <c r="I37" s="54"/>
    </row>
    <row r="38" spans="2:9" ht="12.75">
      <c r="B38" s="35" t="s">
        <v>659</v>
      </c>
      <c r="C38" s="36">
        <v>7</v>
      </c>
      <c r="D38" s="14"/>
      <c r="E38" s="14"/>
      <c r="F38" s="14"/>
      <c r="G38" s="14"/>
      <c r="H38" s="14"/>
      <c r="I38" s="54"/>
    </row>
    <row r="39" spans="2:9" ht="12.75">
      <c r="B39" s="65" t="s">
        <v>660</v>
      </c>
      <c r="C39" s="58">
        <v>2</v>
      </c>
      <c r="D39" s="17"/>
      <c r="E39" s="17"/>
      <c r="F39" s="17"/>
      <c r="G39" s="17"/>
      <c r="H39" s="17"/>
      <c r="I39" s="59"/>
    </row>
    <row r="40" spans="2:9" ht="12.75">
      <c r="B40" s="27" t="s">
        <v>633</v>
      </c>
      <c r="C40" s="63"/>
      <c r="D40" s="64"/>
      <c r="E40" s="64"/>
      <c r="F40" s="64"/>
      <c r="G40" s="64"/>
      <c r="H40" s="64"/>
      <c r="I40" s="24"/>
    </row>
    <row r="41" ht="12.75">
      <c r="B41" s="2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B2:C69"/>
  <sheetViews>
    <sheetView workbookViewId="0" topLeftCell="A1">
      <selection activeCell="A1" sqref="A1"/>
    </sheetView>
  </sheetViews>
  <sheetFormatPr defaultColWidth="11.421875" defaultRowHeight="12.75"/>
  <sheetData>
    <row r="2" ht="12.75">
      <c r="B2" s="1" t="s">
        <v>200</v>
      </c>
    </row>
    <row r="4" ht="12.75">
      <c r="B4" s="1" t="s">
        <v>201</v>
      </c>
    </row>
    <row r="5" ht="12.75">
      <c r="B5" t="s">
        <v>202</v>
      </c>
    </row>
    <row r="6" ht="12.75">
      <c r="B6" t="s">
        <v>203</v>
      </c>
    </row>
    <row r="7" ht="12.75">
      <c r="B7" t="s">
        <v>204</v>
      </c>
    </row>
    <row r="8" ht="12.75">
      <c r="B8" t="s">
        <v>205</v>
      </c>
    </row>
    <row r="10" ht="12.75">
      <c r="B10" s="1" t="s">
        <v>206</v>
      </c>
    </row>
    <row r="11" ht="12.75">
      <c r="B11" t="s">
        <v>207</v>
      </c>
    </row>
    <row r="12" ht="12.75">
      <c r="B12" t="s">
        <v>208</v>
      </c>
    </row>
    <row r="13" ht="12.75">
      <c r="B13" t="s">
        <v>209</v>
      </c>
    </row>
    <row r="14" ht="12.75">
      <c r="B14" t="s">
        <v>210</v>
      </c>
    </row>
    <row r="15" ht="12.75">
      <c r="B15" t="s">
        <v>211</v>
      </c>
    </row>
    <row r="16" ht="12.75">
      <c r="B16" t="s">
        <v>212</v>
      </c>
    </row>
    <row r="17" ht="12.75">
      <c r="B17" t="s">
        <v>213</v>
      </c>
    </row>
    <row r="20" ht="12.75">
      <c r="B20" s="1" t="s">
        <v>214</v>
      </c>
    </row>
    <row r="21" ht="12.75">
      <c r="B21" s="1"/>
    </row>
    <row r="22" ht="12.75">
      <c r="B22" s="1" t="s">
        <v>201</v>
      </c>
    </row>
    <row r="23" ht="12.75">
      <c r="B23" t="s">
        <v>215</v>
      </c>
    </row>
    <row r="24" ht="12.75">
      <c r="B24" t="s">
        <v>217</v>
      </c>
    </row>
    <row r="27" ht="12.75">
      <c r="B27" t="s">
        <v>218</v>
      </c>
    </row>
    <row r="28" ht="12.75">
      <c r="B28" t="s">
        <v>219</v>
      </c>
    </row>
    <row r="30" ht="12.75">
      <c r="B30" t="s">
        <v>220</v>
      </c>
    </row>
    <row r="32" ht="12.75">
      <c r="C32" t="s">
        <v>221</v>
      </c>
    </row>
    <row r="33" ht="12.75">
      <c r="C33" t="s">
        <v>222</v>
      </c>
    </row>
    <row r="35" ht="12.75">
      <c r="B35" t="s">
        <v>223</v>
      </c>
    </row>
    <row r="37" ht="12.75">
      <c r="B37" t="s">
        <v>224</v>
      </c>
    </row>
    <row r="38" ht="12.75">
      <c r="B38" t="s">
        <v>225</v>
      </c>
    </row>
    <row r="40" ht="12.75">
      <c r="B40" t="s">
        <v>226</v>
      </c>
    </row>
    <row r="41" ht="12.75">
      <c r="B41" t="s">
        <v>227</v>
      </c>
    </row>
    <row r="43" ht="12.75">
      <c r="B43" t="s">
        <v>228</v>
      </c>
    </row>
    <row r="44" ht="12.75">
      <c r="B44" t="s">
        <v>229</v>
      </c>
    </row>
    <row r="46" ht="12.75">
      <c r="C46" t="s">
        <v>230</v>
      </c>
    </row>
    <row r="47" ht="12.75">
      <c r="C47" t="s">
        <v>231</v>
      </c>
    </row>
    <row r="48" ht="12.75">
      <c r="C48" t="s">
        <v>232</v>
      </c>
    </row>
    <row r="50" ht="12.75">
      <c r="B50" t="s">
        <v>233</v>
      </c>
    </row>
    <row r="52" ht="12.75">
      <c r="B52" t="s">
        <v>234</v>
      </c>
    </row>
    <row r="53" ht="12.75">
      <c r="B53" t="s">
        <v>235</v>
      </c>
    </row>
    <row r="54" ht="12.75">
      <c r="B54" t="s">
        <v>236</v>
      </c>
    </row>
    <row r="55" ht="12.75">
      <c r="B55" t="s">
        <v>237</v>
      </c>
    </row>
    <row r="57" ht="12.75">
      <c r="B57" s="1" t="s">
        <v>206</v>
      </c>
    </row>
    <row r="58" ht="12.75">
      <c r="B58" t="s">
        <v>238</v>
      </c>
    </row>
    <row r="60" ht="12.75">
      <c r="C60" t="s">
        <v>239</v>
      </c>
    </row>
    <row r="62" ht="12.75">
      <c r="B62" t="s">
        <v>240</v>
      </c>
    </row>
    <row r="64" ht="12.75">
      <c r="B64" t="s">
        <v>241</v>
      </c>
    </row>
    <row r="65" ht="12.75">
      <c r="B65" t="s">
        <v>242</v>
      </c>
    </row>
    <row r="67" ht="12.75">
      <c r="C67" t="s">
        <v>243</v>
      </c>
    </row>
    <row r="69" ht="12.75">
      <c r="B69" t="s">
        <v>244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K114"/>
  <sheetViews>
    <sheetView workbookViewId="0" topLeftCell="A7">
      <selection activeCell="A1" sqref="A1"/>
    </sheetView>
  </sheetViews>
  <sheetFormatPr defaultColWidth="11.421875" defaultRowHeight="12.75"/>
  <cols>
    <col min="1" max="1" width="11.421875" style="2" customWidth="1"/>
    <col min="7" max="7" width="14.57421875" style="0" customWidth="1"/>
    <col min="8" max="8" width="12.57421875" style="0" customWidth="1"/>
  </cols>
  <sheetData>
    <row r="2" spans="1:3" s="1" customFormat="1" ht="12.75">
      <c r="A2" s="274"/>
      <c r="C2" s="204" t="s">
        <v>3</v>
      </c>
    </row>
    <row r="5" spans="1:2" ht="12.75">
      <c r="A5" s="2" t="s">
        <v>245</v>
      </c>
      <c r="B5" t="s">
        <v>246</v>
      </c>
    </row>
    <row r="7" spans="1:2" ht="12.75">
      <c r="A7" s="2" t="s">
        <v>247</v>
      </c>
      <c r="B7" t="s">
        <v>248</v>
      </c>
    </row>
    <row r="9" spans="1:2" ht="12.75">
      <c r="A9" s="2" t="s">
        <v>249</v>
      </c>
      <c r="B9" t="s">
        <v>250</v>
      </c>
    </row>
    <row r="11" spans="1:2" ht="12.75">
      <c r="A11" s="2" t="s">
        <v>251</v>
      </c>
      <c r="B11" t="s">
        <v>252</v>
      </c>
    </row>
    <row r="14" spans="1:11" s="2" customFormat="1" ht="12.75">
      <c r="A14" s="2" t="s">
        <v>1019</v>
      </c>
      <c r="B14" s="427" t="s">
        <v>653</v>
      </c>
      <c r="C14" s="29" t="s">
        <v>641</v>
      </c>
      <c r="D14" s="29" t="s">
        <v>253</v>
      </c>
      <c r="E14" s="29" t="s">
        <v>642</v>
      </c>
      <c r="F14" s="29" t="s">
        <v>643</v>
      </c>
      <c r="G14" s="29" t="s">
        <v>254</v>
      </c>
      <c r="H14" s="29" t="s">
        <v>255</v>
      </c>
      <c r="I14" s="30" t="s">
        <v>643</v>
      </c>
      <c r="J14" s="427" t="s">
        <v>256</v>
      </c>
      <c r="K14" s="48" t="s">
        <v>257</v>
      </c>
    </row>
    <row r="15" spans="2:11" ht="12.75">
      <c r="B15" s="545"/>
      <c r="C15" s="155"/>
      <c r="D15" s="155"/>
      <c r="E15" s="546"/>
      <c r="F15" s="546"/>
      <c r="G15" s="547"/>
      <c r="H15" s="155"/>
      <c r="I15" s="548">
        <v>0</v>
      </c>
      <c r="J15" s="549">
        <v>0</v>
      </c>
      <c r="K15" s="550">
        <v>0</v>
      </c>
    </row>
    <row r="16" spans="2:11" ht="12.75">
      <c r="B16" s="344">
        <v>10</v>
      </c>
      <c r="C16" s="158">
        <v>50</v>
      </c>
      <c r="D16" s="158">
        <f>B16*C16</f>
        <v>500</v>
      </c>
      <c r="E16" s="551">
        <f>C16/$C$22</f>
        <v>0.2</v>
      </c>
      <c r="F16" s="551">
        <f>E16</f>
        <v>0.2</v>
      </c>
      <c r="G16" s="372">
        <f>E16*(B16-$D$22/$C$22)^2</f>
        <v>180</v>
      </c>
      <c r="H16" s="158">
        <f>D16</f>
        <v>500</v>
      </c>
      <c r="I16" s="552">
        <v>0.2</v>
      </c>
      <c r="J16" s="553">
        <v>0.2</v>
      </c>
      <c r="K16" s="554">
        <f>H16/$H$20</f>
        <v>0.05</v>
      </c>
    </row>
    <row r="17" spans="2:11" ht="12.75">
      <c r="B17" s="344">
        <v>20</v>
      </c>
      <c r="C17" s="158">
        <v>75</v>
      </c>
      <c r="D17" s="158">
        <f>B17*C17</f>
        <v>1500</v>
      </c>
      <c r="E17" s="551">
        <f>C17/$C$22</f>
        <v>0.3</v>
      </c>
      <c r="F17" s="551">
        <f>F16+E17</f>
        <v>0.5</v>
      </c>
      <c r="G17" s="372">
        <f>E17*(B17-$D$22/$C$22)^2</f>
        <v>120</v>
      </c>
      <c r="H17" s="158">
        <f>H16+D17</f>
        <v>2000</v>
      </c>
      <c r="I17" s="552">
        <v>0.5</v>
      </c>
      <c r="J17" s="553">
        <v>0.5</v>
      </c>
      <c r="K17" s="554">
        <f>H17/$H$20</f>
        <v>0.2</v>
      </c>
    </row>
    <row r="18" spans="2:11" ht="12.75">
      <c r="B18" s="344">
        <v>50</v>
      </c>
      <c r="C18" s="158">
        <v>100</v>
      </c>
      <c r="D18" s="158">
        <f>B18*C18</f>
        <v>5000</v>
      </c>
      <c r="E18" s="551">
        <f>C18/$C$22</f>
        <v>0.4</v>
      </c>
      <c r="F18" s="551">
        <f>F17+E18</f>
        <v>0.9</v>
      </c>
      <c r="G18" s="372">
        <f>E18*(B18-$D$22/$C$22)^2</f>
        <v>40</v>
      </c>
      <c r="H18" s="158">
        <f>H17+D18</f>
        <v>7000</v>
      </c>
      <c r="I18" s="552">
        <v>0.9</v>
      </c>
      <c r="J18" s="553">
        <v>0.9</v>
      </c>
      <c r="K18" s="554">
        <f>H18/$H$20</f>
        <v>0.7</v>
      </c>
    </row>
    <row r="19" spans="2:11" ht="12.75">
      <c r="B19" s="344">
        <v>100</v>
      </c>
      <c r="C19" s="158">
        <v>20</v>
      </c>
      <c r="D19" s="158">
        <f>B19*C19</f>
        <v>2000</v>
      </c>
      <c r="E19" s="551">
        <f>C19/$C$22</f>
        <v>0.08</v>
      </c>
      <c r="F19" s="551">
        <f>F18+E19</f>
        <v>0.98</v>
      </c>
      <c r="G19" s="372">
        <f>E19*(B19-$D$22/$C$22)^2</f>
        <v>288</v>
      </c>
      <c r="H19" s="158">
        <f>H18+D19</f>
        <v>9000</v>
      </c>
      <c r="I19" s="552">
        <v>0.98</v>
      </c>
      <c r="J19" s="553">
        <v>0.98</v>
      </c>
      <c r="K19" s="554">
        <f>H19/$H$20</f>
        <v>0.9</v>
      </c>
    </row>
    <row r="20" spans="2:11" ht="12.75">
      <c r="B20" s="344">
        <v>200</v>
      </c>
      <c r="C20" s="158">
        <v>5</v>
      </c>
      <c r="D20" s="158">
        <f>B20*C20</f>
        <v>1000</v>
      </c>
      <c r="E20" s="551">
        <f>C20/$C$22</f>
        <v>0.02</v>
      </c>
      <c r="F20" s="551">
        <f>F19+E20</f>
        <v>1</v>
      </c>
      <c r="G20" s="372">
        <f>E20*(B20-$D$22/$C$22)^2</f>
        <v>512</v>
      </c>
      <c r="H20" s="158">
        <f>H19+D20</f>
        <v>10000</v>
      </c>
      <c r="I20" s="552">
        <v>1</v>
      </c>
      <c r="J20" s="553">
        <v>1</v>
      </c>
      <c r="K20" s="554">
        <f>H20/$H$20</f>
        <v>1</v>
      </c>
    </row>
    <row r="21" spans="2:11" ht="12.75">
      <c r="B21" s="555"/>
      <c r="C21" s="267"/>
      <c r="D21" s="267"/>
      <c r="E21" s="556"/>
      <c r="F21" s="556"/>
      <c r="G21" s="557"/>
      <c r="H21" s="267"/>
      <c r="I21" s="558"/>
      <c r="J21" s="559"/>
      <c r="K21" s="560"/>
    </row>
    <row r="22" spans="2:11" ht="12.75">
      <c r="B22" s="427" t="s">
        <v>633</v>
      </c>
      <c r="C22" s="64">
        <f>SUM(C16:C20)</f>
        <v>250</v>
      </c>
      <c r="D22" s="64">
        <f>SUM(D16:D20)</f>
        <v>10000</v>
      </c>
      <c r="E22" s="561">
        <f>SUM(E16:E20)</f>
        <v>1</v>
      </c>
      <c r="F22" s="561"/>
      <c r="G22" s="562">
        <f>SUM(G16:G20)</f>
        <v>1140</v>
      </c>
      <c r="H22" s="64"/>
      <c r="I22" s="563"/>
      <c r="J22" s="564"/>
      <c r="K22" s="565"/>
    </row>
    <row r="24" spans="1:2" ht="12.75">
      <c r="A24" s="2" t="s">
        <v>7</v>
      </c>
      <c r="B24" t="s">
        <v>258</v>
      </c>
    </row>
    <row r="26" spans="1:2" ht="12.75">
      <c r="A26" s="2" t="s">
        <v>13</v>
      </c>
      <c r="B26" t="s">
        <v>259</v>
      </c>
    </row>
    <row r="28" spans="1:2" ht="12.75">
      <c r="A28" s="2" t="s">
        <v>15</v>
      </c>
      <c r="B28" t="s">
        <v>260</v>
      </c>
    </row>
    <row r="30" spans="1:2" ht="12.75">
      <c r="A30" s="2" t="s">
        <v>261</v>
      </c>
      <c r="B30" t="s">
        <v>262</v>
      </c>
    </row>
    <row r="60" spans="1:4" s="1" customFormat="1" ht="12.75">
      <c r="A60" s="2" t="s">
        <v>17</v>
      </c>
      <c r="B60" s="107"/>
      <c r="C60" s="427" t="s">
        <v>20</v>
      </c>
      <c r="D60" s="48" t="s">
        <v>21</v>
      </c>
    </row>
    <row r="61" spans="2:4" ht="12.75">
      <c r="B61" s="439" t="s">
        <v>22</v>
      </c>
      <c r="C61" s="545">
        <v>53.16635521530469</v>
      </c>
      <c r="D61" s="156">
        <v>0.5529439465712767</v>
      </c>
    </row>
    <row r="62" spans="2:4" ht="12.75">
      <c r="B62" s="439" t="s">
        <v>263</v>
      </c>
      <c r="C62" s="344">
        <v>8.490991657487477</v>
      </c>
      <c r="D62" s="159">
        <v>1.881151558113123</v>
      </c>
    </row>
    <row r="63" spans="2:4" ht="12.75">
      <c r="B63" s="439" t="s">
        <v>264</v>
      </c>
      <c r="C63" s="344">
        <v>97.24398606597678</v>
      </c>
      <c r="D63" s="159">
        <v>5.679196654422081</v>
      </c>
    </row>
    <row r="64" spans="2:4" ht="12.75">
      <c r="B64" s="443" t="s">
        <v>265</v>
      </c>
      <c r="C64" s="566">
        <v>161.58933356715028</v>
      </c>
      <c r="D64" s="162">
        <v>3.194405868722012</v>
      </c>
    </row>
    <row r="65" spans="3:4" ht="12.75">
      <c r="C65" s="3"/>
      <c r="D65" s="3"/>
    </row>
    <row r="66" spans="2:4" ht="12.75">
      <c r="B66" t="s">
        <v>266</v>
      </c>
      <c r="C66" s="3"/>
      <c r="D66" s="3"/>
    </row>
    <row r="67" spans="3:4" ht="12.75">
      <c r="C67" s="3"/>
      <c r="D67" s="3"/>
    </row>
    <row r="68" spans="1:4" s="1" customFormat="1" ht="12.75">
      <c r="A68" s="2" t="s">
        <v>18</v>
      </c>
      <c r="B68" s="107"/>
      <c r="C68" s="427" t="s">
        <v>20</v>
      </c>
      <c r="D68" s="48" t="s">
        <v>21</v>
      </c>
    </row>
    <row r="69" spans="2:4" ht="12.75">
      <c r="B69" s="439" t="s">
        <v>22</v>
      </c>
      <c r="C69" s="545">
        <v>103.98074313338711</v>
      </c>
      <c r="D69" s="156">
        <v>1.8422950002548135</v>
      </c>
    </row>
    <row r="70" spans="2:4" ht="12.75">
      <c r="B70" s="439" t="s">
        <v>263</v>
      </c>
      <c r="C70" s="344">
        <v>10.129481940242504</v>
      </c>
      <c r="D70" s="159">
        <v>4.319768362330049</v>
      </c>
    </row>
    <row r="71" spans="2:4" ht="12.75">
      <c r="B71" s="439" t="s">
        <v>264</v>
      </c>
      <c r="C71" s="344">
        <v>86.16795923113504</v>
      </c>
      <c r="D71" s="159">
        <v>8.162602031584884</v>
      </c>
    </row>
    <row r="72" spans="2:4" ht="12.75">
      <c r="B72" s="439" t="s">
        <v>265</v>
      </c>
      <c r="C72" s="344">
        <v>151.73056216694764</v>
      </c>
      <c r="D72" s="159">
        <v>5.462429817616425</v>
      </c>
    </row>
    <row r="73" spans="2:4" ht="12.75">
      <c r="B73" s="439" t="s">
        <v>267</v>
      </c>
      <c r="C73" s="344">
        <v>27.202720426002536</v>
      </c>
      <c r="D73" s="159">
        <v>2.305439011638429</v>
      </c>
    </row>
    <row r="74" spans="2:4" ht="12.75">
      <c r="B74" s="439" t="s">
        <v>268</v>
      </c>
      <c r="C74" s="344">
        <v>-17.215908117844542</v>
      </c>
      <c r="D74" s="159">
        <v>-7.9330724869088565</v>
      </c>
    </row>
    <row r="75" spans="2:4" ht="12.75">
      <c r="B75" s="443" t="s">
        <v>269</v>
      </c>
      <c r="C75" s="566">
        <v>-4.160032838642748</v>
      </c>
      <c r="D75" s="162">
        <v>-1.929431106643806</v>
      </c>
    </row>
    <row r="77" ht="12.75">
      <c r="B77" t="s">
        <v>23</v>
      </c>
    </row>
    <row r="79" ht="12.75">
      <c r="B79" t="s">
        <v>270</v>
      </c>
    </row>
    <row r="81" ht="12.75">
      <c r="B81" t="s">
        <v>271</v>
      </c>
    </row>
    <row r="82" ht="12.75">
      <c r="B82" t="s">
        <v>272</v>
      </c>
    </row>
    <row r="83" ht="12.75">
      <c r="B83" t="s">
        <v>273</v>
      </c>
    </row>
    <row r="85" ht="12.75">
      <c r="B85" t="s">
        <v>274</v>
      </c>
    </row>
    <row r="86" ht="12.75">
      <c r="B86" t="s">
        <v>275</v>
      </c>
    </row>
    <row r="88" ht="12.75">
      <c r="B88" t="s">
        <v>276</v>
      </c>
    </row>
    <row r="89" ht="12.75">
      <c r="B89" t="s">
        <v>277</v>
      </c>
    </row>
    <row r="90" ht="12.75">
      <c r="B90" t="s">
        <v>278</v>
      </c>
    </row>
    <row r="91" ht="12.75">
      <c r="B91" t="s">
        <v>279</v>
      </c>
    </row>
    <row r="92" ht="12.75">
      <c r="B92" t="s">
        <v>280</v>
      </c>
    </row>
    <row r="93" ht="12.75">
      <c r="B93" t="s">
        <v>281</v>
      </c>
    </row>
    <row r="95" ht="12.75">
      <c r="B95" t="s">
        <v>282</v>
      </c>
    </row>
    <row r="96" ht="12.75">
      <c r="B96" t="s">
        <v>33</v>
      </c>
    </row>
    <row r="98" ht="12.75">
      <c r="B98" t="s">
        <v>283</v>
      </c>
    </row>
    <row r="99" ht="12.75">
      <c r="B99" t="s">
        <v>284</v>
      </c>
    </row>
    <row r="100" ht="12.75">
      <c r="B100" t="s">
        <v>285</v>
      </c>
    </row>
    <row r="101" ht="12.75">
      <c r="B101" t="s">
        <v>286</v>
      </c>
    </row>
    <row r="102" ht="12.75">
      <c r="B102" t="s">
        <v>287</v>
      </c>
    </row>
    <row r="103" ht="12.75">
      <c r="B103" t="s">
        <v>288</v>
      </c>
    </row>
    <row r="105" spans="1:4" s="1" customFormat="1" ht="12.75">
      <c r="A105" s="2" t="s">
        <v>19</v>
      </c>
      <c r="B105" s="107"/>
      <c r="C105" s="427" t="s">
        <v>20</v>
      </c>
      <c r="D105" s="48" t="s">
        <v>21</v>
      </c>
    </row>
    <row r="106" spans="2:4" ht="12.75">
      <c r="B106" s="439" t="s">
        <v>22</v>
      </c>
      <c r="C106" s="545">
        <v>237.2728283456711</v>
      </c>
      <c r="D106" s="156">
        <v>6.678036484555315</v>
      </c>
    </row>
    <row r="107" spans="2:4" ht="12.75">
      <c r="B107" s="439" t="s">
        <v>263</v>
      </c>
      <c r="C107" s="344">
        <v>9.148503323160817</v>
      </c>
      <c r="D107" s="159">
        <v>7.78888935978812</v>
      </c>
    </row>
    <row r="108" spans="2:4" ht="12.75">
      <c r="B108" s="439" t="s">
        <v>267</v>
      </c>
      <c r="C108" s="344">
        <v>31.97921799302379</v>
      </c>
      <c r="D108" s="159">
        <v>4.9640130451585875</v>
      </c>
    </row>
    <row r="109" spans="2:4" ht="12.75">
      <c r="B109" s="439" t="s">
        <v>268</v>
      </c>
      <c r="C109" s="344">
        <v>-13.168457070716267</v>
      </c>
      <c r="D109" s="159">
        <v>-10.401779610319098</v>
      </c>
    </row>
    <row r="110" spans="2:4" ht="12.75">
      <c r="B110" s="439" t="s">
        <v>269</v>
      </c>
      <c r="C110" s="344">
        <v>-3.931789038023993</v>
      </c>
      <c r="D110" s="159">
        <v>-3.5279248556951694</v>
      </c>
    </row>
    <row r="111" spans="2:4" ht="12.75">
      <c r="B111" s="439" t="s">
        <v>289</v>
      </c>
      <c r="C111" s="344">
        <v>11.324791168060873</v>
      </c>
      <c r="D111" s="159">
        <v>15.10385968236727</v>
      </c>
    </row>
    <row r="112" spans="2:4" ht="12.75">
      <c r="B112" s="443" t="s">
        <v>290</v>
      </c>
      <c r="C112" s="566">
        <v>9.882976959415332</v>
      </c>
      <c r="D112" s="162">
        <v>2.986861075220863</v>
      </c>
    </row>
    <row r="114" ht="12.75">
      <c r="B114" t="s">
        <v>291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K78"/>
  <sheetViews>
    <sheetView workbookViewId="0" topLeftCell="A1">
      <selection activeCell="A1" sqref="A1"/>
    </sheetView>
  </sheetViews>
  <sheetFormatPr defaultColWidth="11.421875" defaultRowHeight="12.75"/>
  <cols>
    <col min="1" max="1" width="9.28125" style="0" customWidth="1"/>
    <col min="2" max="2" width="2.57421875" style="0" customWidth="1"/>
  </cols>
  <sheetData>
    <row r="2" ht="12.75">
      <c r="D2" s="1" t="s">
        <v>292</v>
      </c>
    </row>
    <row r="5" ht="12.75">
      <c r="C5" t="s">
        <v>418</v>
      </c>
    </row>
    <row r="8" spans="2:3" ht="12.75">
      <c r="B8" t="s">
        <v>1015</v>
      </c>
      <c r="C8" t="s">
        <v>420</v>
      </c>
    </row>
    <row r="9" ht="12.75">
      <c r="C9" t="s">
        <v>419</v>
      </c>
    </row>
    <row r="11" ht="12.75">
      <c r="C11" t="s">
        <v>293</v>
      </c>
    </row>
    <row r="12" ht="12.75">
      <c r="C12" t="s">
        <v>294</v>
      </c>
    </row>
    <row r="13" ht="12.75">
      <c r="C13" t="s">
        <v>295</v>
      </c>
    </row>
    <row r="14" ht="12.75">
      <c r="C14" t="s">
        <v>296</v>
      </c>
    </row>
    <row r="18" spans="2:3" ht="12.75">
      <c r="B18" t="s">
        <v>1019</v>
      </c>
      <c r="C18" t="s">
        <v>297</v>
      </c>
    </row>
    <row r="20" spans="3:4" ht="12.75">
      <c r="C20" s="427" t="s">
        <v>298</v>
      </c>
      <c r="D20" s="48" t="s">
        <v>793</v>
      </c>
    </row>
    <row r="21" spans="3:4" ht="12.75">
      <c r="C21" s="545">
        <v>10</v>
      </c>
      <c r="D21" s="156">
        <v>50</v>
      </c>
    </row>
    <row r="22" spans="3:4" ht="12.75">
      <c r="C22" s="344">
        <v>20</v>
      </c>
      <c r="D22" s="159">
        <v>75</v>
      </c>
    </row>
    <row r="23" spans="3:4" ht="12.75">
      <c r="C23" s="344">
        <v>50</v>
      </c>
      <c r="D23" s="159">
        <v>100</v>
      </c>
    </row>
    <row r="24" spans="3:4" ht="12.75">
      <c r="C24" s="344">
        <v>100</v>
      </c>
      <c r="D24" s="159">
        <v>20</v>
      </c>
    </row>
    <row r="25" spans="3:4" ht="12.75">
      <c r="C25" s="566">
        <v>200</v>
      </c>
      <c r="D25" s="162">
        <v>5</v>
      </c>
    </row>
    <row r="27" ht="12.75">
      <c r="C27" t="s">
        <v>299</v>
      </c>
    </row>
    <row r="28" ht="12.75">
      <c r="C28" t="s">
        <v>300</v>
      </c>
    </row>
    <row r="29" ht="12.75">
      <c r="C29" t="s">
        <v>301</v>
      </c>
    </row>
    <row r="30" ht="12.75">
      <c r="C30" t="s">
        <v>302</v>
      </c>
    </row>
    <row r="34" spans="2:3" ht="12.75">
      <c r="B34" t="s">
        <v>1034</v>
      </c>
      <c r="C34" t="s">
        <v>303</v>
      </c>
    </row>
    <row r="36" spans="3:4" ht="12.75">
      <c r="C36" t="s">
        <v>304</v>
      </c>
      <c r="D36" t="s">
        <v>305</v>
      </c>
    </row>
    <row r="37" spans="3:4" ht="12.75">
      <c r="C37" t="s">
        <v>263</v>
      </c>
      <c r="D37" t="s">
        <v>306</v>
      </c>
    </row>
    <row r="38" spans="3:4" ht="12.75">
      <c r="C38" t="s">
        <v>264</v>
      </c>
      <c r="D38" t="s">
        <v>307</v>
      </c>
    </row>
    <row r="39" spans="3:4" ht="12.75">
      <c r="C39" t="s">
        <v>289</v>
      </c>
      <c r="D39" t="s">
        <v>308</v>
      </c>
    </row>
    <row r="40" spans="3:4" ht="12.75">
      <c r="C40" t="s">
        <v>265</v>
      </c>
      <c r="D40" t="s">
        <v>309</v>
      </c>
    </row>
    <row r="41" spans="3:4" ht="12.75">
      <c r="C41" t="s">
        <v>290</v>
      </c>
      <c r="D41" t="s">
        <v>310</v>
      </c>
    </row>
    <row r="42" spans="3:4" ht="12.75">
      <c r="C42" t="s">
        <v>267</v>
      </c>
      <c r="D42" t="s">
        <v>311</v>
      </c>
    </row>
    <row r="43" spans="3:4" ht="12.75">
      <c r="C43" t="s">
        <v>268</v>
      </c>
      <c r="D43" t="s">
        <v>312</v>
      </c>
    </row>
    <row r="44" spans="3:4" ht="12.75">
      <c r="C44" t="s">
        <v>269</v>
      </c>
      <c r="D44" t="s">
        <v>313</v>
      </c>
    </row>
    <row r="46" spans="3:11" ht="12.75">
      <c r="C46" s="427" t="s">
        <v>304</v>
      </c>
      <c r="D46" s="29" t="s">
        <v>263</v>
      </c>
      <c r="E46" s="29" t="s">
        <v>264</v>
      </c>
      <c r="F46" s="29" t="s">
        <v>289</v>
      </c>
      <c r="G46" s="29" t="s">
        <v>265</v>
      </c>
      <c r="H46" s="29" t="s">
        <v>290</v>
      </c>
      <c r="I46" s="29" t="s">
        <v>267</v>
      </c>
      <c r="J46" s="29" t="s">
        <v>268</v>
      </c>
      <c r="K46" s="48" t="s">
        <v>269</v>
      </c>
    </row>
    <row r="47" spans="3:11" ht="12.75">
      <c r="C47" s="545">
        <v>559</v>
      </c>
      <c r="D47" s="155">
        <v>30</v>
      </c>
      <c r="E47" s="155">
        <v>1</v>
      </c>
      <c r="F47" s="155">
        <v>7</v>
      </c>
      <c r="G47" s="155">
        <v>0.75</v>
      </c>
      <c r="H47" s="155">
        <v>2</v>
      </c>
      <c r="I47" s="155">
        <v>0</v>
      </c>
      <c r="J47" s="155">
        <v>4</v>
      </c>
      <c r="K47" s="156">
        <v>4</v>
      </c>
    </row>
    <row r="48" spans="3:11" ht="12.75">
      <c r="C48" s="344">
        <v>577</v>
      </c>
      <c r="D48" s="158">
        <v>31</v>
      </c>
      <c r="E48" s="158">
        <v>1</v>
      </c>
      <c r="F48" s="158">
        <v>8</v>
      </c>
      <c r="G48" s="158">
        <v>1</v>
      </c>
      <c r="H48" s="158">
        <v>3</v>
      </c>
      <c r="I48" s="158">
        <v>1</v>
      </c>
      <c r="J48" s="158">
        <v>4</v>
      </c>
      <c r="K48" s="159">
        <v>6</v>
      </c>
    </row>
    <row r="49" spans="3:11" ht="12.75">
      <c r="C49" s="344">
        <v>717</v>
      </c>
      <c r="D49" s="158">
        <v>32</v>
      </c>
      <c r="E49" s="158">
        <v>1</v>
      </c>
      <c r="F49" s="158">
        <v>12</v>
      </c>
      <c r="G49" s="158">
        <v>1.5</v>
      </c>
      <c r="H49" s="158">
        <v>5</v>
      </c>
      <c r="I49" s="158">
        <v>2</v>
      </c>
      <c r="J49" s="158">
        <v>3</v>
      </c>
      <c r="K49" s="159">
        <v>8</v>
      </c>
    </row>
    <row r="50" spans="3:11" ht="12.75">
      <c r="C50" s="344">
        <v>680</v>
      </c>
      <c r="D50" s="158">
        <v>33</v>
      </c>
      <c r="E50" s="158">
        <v>2</v>
      </c>
      <c r="F50" s="158">
        <v>13</v>
      </c>
      <c r="G50" s="158">
        <v>1</v>
      </c>
      <c r="H50" s="158">
        <v>3</v>
      </c>
      <c r="I50" s="158">
        <v>1</v>
      </c>
      <c r="J50" s="158">
        <v>1</v>
      </c>
      <c r="K50" s="159">
        <v>9</v>
      </c>
    </row>
    <row r="51" spans="3:11" ht="12.75">
      <c r="C51" s="344">
        <v>642</v>
      </c>
      <c r="D51" s="158">
        <v>34</v>
      </c>
      <c r="E51" s="158">
        <v>2</v>
      </c>
      <c r="F51" s="158">
        <v>14</v>
      </c>
      <c r="G51" s="158">
        <v>1</v>
      </c>
      <c r="H51" s="158">
        <v>4</v>
      </c>
      <c r="I51" s="158">
        <v>1</v>
      </c>
      <c r="J51" s="158">
        <v>8</v>
      </c>
      <c r="K51" s="159">
        <v>11</v>
      </c>
    </row>
    <row r="52" spans="3:11" ht="12.75">
      <c r="C52" s="344">
        <v>751</v>
      </c>
      <c r="D52" s="158">
        <v>33</v>
      </c>
      <c r="E52" s="158">
        <v>2</v>
      </c>
      <c r="F52" s="158">
        <v>18</v>
      </c>
      <c r="G52" s="158">
        <v>1</v>
      </c>
      <c r="H52" s="158">
        <v>4</v>
      </c>
      <c r="I52" s="158">
        <v>2</v>
      </c>
      <c r="J52" s="158">
        <v>4</v>
      </c>
      <c r="K52" s="159">
        <v>6</v>
      </c>
    </row>
    <row r="53" spans="3:11" ht="12.75">
      <c r="C53" s="344">
        <v>770</v>
      </c>
      <c r="D53" s="158">
        <v>33</v>
      </c>
      <c r="E53" s="158">
        <v>2</v>
      </c>
      <c r="F53" s="158">
        <v>19</v>
      </c>
      <c r="G53" s="158">
        <v>1.5</v>
      </c>
      <c r="H53" s="158">
        <v>5</v>
      </c>
      <c r="I53" s="158">
        <v>2</v>
      </c>
      <c r="J53" s="158">
        <v>6</v>
      </c>
      <c r="K53" s="159">
        <v>6</v>
      </c>
    </row>
    <row r="54" spans="3:11" ht="12.75">
      <c r="C54" s="344">
        <v>898</v>
      </c>
      <c r="D54" s="158">
        <v>39</v>
      </c>
      <c r="E54" s="158">
        <v>2</v>
      </c>
      <c r="F54" s="158">
        <v>26</v>
      </c>
      <c r="G54" s="158">
        <v>2</v>
      </c>
      <c r="H54" s="158">
        <v>6</v>
      </c>
      <c r="I54" s="158">
        <v>1</v>
      </c>
      <c r="J54" s="158">
        <v>4</v>
      </c>
      <c r="K54" s="159">
        <v>8</v>
      </c>
    </row>
    <row r="55" spans="3:11" ht="12.75">
      <c r="C55" s="344">
        <v>955</v>
      </c>
      <c r="D55" s="158">
        <v>39</v>
      </c>
      <c r="E55" s="158">
        <v>2</v>
      </c>
      <c r="F55" s="158">
        <v>26</v>
      </c>
      <c r="G55" s="158">
        <v>2</v>
      </c>
      <c r="H55" s="158">
        <v>7</v>
      </c>
      <c r="I55" s="158">
        <v>2</v>
      </c>
      <c r="J55" s="158">
        <v>5</v>
      </c>
      <c r="K55" s="159">
        <v>5</v>
      </c>
    </row>
    <row r="56" spans="3:11" ht="12.75">
      <c r="C56" s="344">
        <v>974</v>
      </c>
      <c r="D56" s="158">
        <v>41</v>
      </c>
      <c r="E56" s="158">
        <v>2</v>
      </c>
      <c r="F56" s="158">
        <v>27</v>
      </c>
      <c r="G56" s="158">
        <v>2</v>
      </c>
      <c r="H56" s="158">
        <v>8</v>
      </c>
      <c r="I56" s="158">
        <v>2</v>
      </c>
      <c r="J56" s="158">
        <v>5</v>
      </c>
      <c r="K56" s="159">
        <v>6</v>
      </c>
    </row>
    <row r="57" spans="3:11" ht="12.75">
      <c r="C57" s="344">
        <v>837</v>
      </c>
      <c r="D57" s="158">
        <v>33</v>
      </c>
      <c r="E57" s="158">
        <v>3</v>
      </c>
      <c r="F57" s="158">
        <v>22</v>
      </c>
      <c r="G57" s="158">
        <v>1</v>
      </c>
      <c r="H57" s="158">
        <v>3</v>
      </c>
      <c r="I57" s="158">
        <v>2</v>
      </c>
      <c r="J57" s="158">
        <v>3</v>
      </c>
      <c r="K57" s="159">
        <v>9</v>
      </c>
    </row>
    <row r="58" spans="3:11" ht="12.75">
      <c r="C58" s="344">
        <v>850</v>
      </c>
      <c r="D58" s="158">
        <v>36</v>
      </c>
      <c r="E58" s="158">
        <v>3</v>
      </c>
      <c r="F58" s="158">
        <v>23</v>
      </c>
      <c r="G58" s="158">
        <v>1</v>
      </c>
      <c r="H58" s="158">
        <v>3</v>
      </c>
      <c r="I58" s="158">
        <v>2</v>
      </c>
      <c r="J58" s="158">
        <v>1</v>
      </c>
      <c r="K58" s="159">
        <v>12</v>
      </c>
    </row>
    <row r="59" spans="3:11" ht="12.75">
      <c r="C59" s="344">
        <v>798</v>
      </c>
      <c r="D59" s="158">
        <v>37</v>
      </c>
      <c r="E59" s="158">
        <v>3</v>
      </c>
      <c r="F59" s="158">
        <v>24</v>
      </c>
      <c r="G59" s="158">
        <v>1.5</v>
      </c>
      <c r="H59" s="158">
        <v>5</v>
      </c>
      <c r="I59" s="158">
        <v>2</v>
      </c>
      <c r="J59" s="158">
        <v>9</v>
      </c>
      <c r="K59" s="159">
        <v>11</v>
      </c>
    </row>
    <row r="60" spans="3:11" ht="12.75">
      <c r="C60" s="344">
        <v>863</v>
      </c>
      <c r="D60" s="158">
        <v>41</v>
      </c>
      <c r="E60" s="158">
        <v>3</v>
      </c>
      <c r="F60" s="158">
        <v>27</v>
      </c>
      <c r="G60" s="158">
        <v>1.5</v>
      </c>
      <c r="H60" s="158">
        <v>6</v>
      </c>
      <c r="I60" s="158">
        <v>2</v>
      </c>
      <c r="J60" s="158">
        <v>9</v>
      </c>
      <c r="K60" s="159">
        <v>12</v>
      </c>
    </row>
    <row r="61" spans="3:11" ht="12.75">
      <c r="C61" s="344">
        <v>980</v>
      </c>
      <c r="D61" s="158">
        <v>44</v>
      </c>
      <c r="E61" s="158">
        <v>3</v>
      </c>
      <c r="F61" s="158">
        <v>30</v>
      </c>
      <c r="G61" s="158">
        <v>2</v>
      </c>
      <c r="H61" s="158">
        <v>7</v>
      </c>
      <c r="I61" s="158">
        <v>2</v>
      </c>
      <c r="J61" s="158">
        <v>9</v>
      </c>
      <c r="K61" s="159">
        <v>1</v>
      </c>
    </row>
    <row r="62" spans="3:11" ht="12.75">
      <c r="C62" s="344">
        <v>1066</v>
      </c>
      <c r="D62" s="158">
        <v>45</v>
      </c>
      <c r="E62" s="158">
        <v>3</v>
      </c>
      <c r="F62" s="158">
        <v>33</v>
      </c>
      <c r="G62" s="158">
        <v>2</v>
      </c>
      <c r="H62" s="158">
        <v>7</v>
      </c>
      <c r="I62" s="158">
        <v>2</v>
      </c>
      <c r="J62" s="158">
        <v>4</v>
      </c>
      <c r="K62" s="159">
        <v>8</v>
      </c>
    </row>
    <row r="63" spans="3:11" ht="12.75">
      <c r="C63" s="344">
        <v>1132</v>
      </c>
      <c r="D63" s="158">
        <v>48</v>
      </c>
      <c r="E63" s="158">
        <v>3</v>
      </c>
      <c r="F63" s="158">
        <v>37</v>
      </c>
      <c r="G63" s="158">
        <v>2</v>
      </c>
      <c r="H63" s="158">
        <v>6</v>
      </c>
      <c r="I63" s="158">
        <v>2</v>
      </c>
      <c r="J63" s="158">
        <v>4</v>
      </c>
      <c r="K63" s="159">
        <v>4</v>
      </c>
    </row>
    <row r="64" spans="3:11" ht="12.75">
      <c r="C64" s="344">
        <v>1205</v>
      </c>
      <c r="D64" s="158">
        <v>51</v>
      </c>
      <c r="E64" s="158">
        <v>3</v>
      </c>
      <c r="F64" s="158">
        <v>38</v>
      </c>
      <c r="G64" s="158">
        <v>2.5</v>
      </c>
      <c r="H64" s="158">
        <v>8</v>
      </c>
      <c r="I64" s="158">
        <v>2</v>
      </c>
      <c r="J64" s="158">
        <v>3</v>
      </c>
      <c r="K64" s="159">
        <v>8</v>
      </c>
    </row>
    <row r="65" spans="3:11" ht="12.75">
      <c r="C65" s="344">
        <v>1220</v>
      </c>
      <c r="D65" s="158">
        <v>55</v>
      </c>
      <c r="E65" s="158">
        <v>3</v>
      </c>
      <c r="F65" s="158">
        <v>39</v>
      </c>
      <c r="G65" s="158">
        <v>2.5</v>
      </c>
      <c r="H65" s="158">
        <v>7</v>
      </c>
      <c r="I65" s="158">
        <v>2</v>
      </c>
      <c r="J65" s="158">
        <v>8</v>
      </c>
      <c r="K65" s="159">
        <v>3</v>
      </c>
    </row>
    <row r="66" spans="3:11" ht="12.75">
      <c r="C66" s="344">
        <v>615</v>
      </c>
      <c r="D66" s="158">
        <v>33</v>
      </c>
      <c r="E66" s="158">
        <v>1</v>
      </c>
      <c r="F66" s="158">
        <v>7</v>
      </c>
      <c r="G66" s="158">
        <v>1</v>
      </c>
      <c r="H66" s="158">
        <v>2</v>
      </c>
      <c r="I66" s="158">
        <v>1</v>
      </c>
      <c r="J66" s="158">
        <v>1</v>
      </c>
      <c r="K66" s="159">
        <v>11</v>
      </c>
    </row>
    <row r="67" spans="3:11" ht="12.75">
      <c r="C67" s="344">
        <v>540</v>
      </c>
      <c r="D67" s="158">
        <v>34</v>
      </c>
      <c r="E67" s="158">
        <v>1</v>
      </c>
      <c r="F67" s="158">
        <v>7</v>
      </c>
      <c r="G67" s="158">
        <v>1</v>
      </c>
      <c r="H67" s="158">
        <v>3</v>
      </c>
      <c r="I67" s="158">
        <v>0</v>
      </c>
      <c r="J67" s="158">
        <v>9</v>
      </c>
      <c r="K67" s="159">
        <v>0</v>
      </c>
    </row>
    <row r="68" spans="3:11" ht="12.75">
      <c r="C68" s="344">
        <v>664</v>
      </c>
      <c r="D68" s="158">
        <v>33</v>
      </c>
      <c r="E68" s="158">
        <v>1</v>
      </c>
      <c r="F68" s="158">
        <v>8</v>
      </c>
      <c r="G68" s="158">
        <v>1</v>
      </c>
      <c r="H68" s="158">
        <v>3</v>
      </c>
      <c r="I68" s="158">
        <v>1</v>
      </c>
      <c r="J68" s="158">
        <v>0</v>
      </c>
      <c r="K68" s="159">
        <v>9</v>
      </c>
    </row>
    <row r="69" spans="3:11" ht="12.75">
      <c r="C69" s="344">
        <v>611</v>
      </c>
      <c r="D69" s="158">
        <v>36</v>
      </c>
      <c r="E69" s="158">
        <v>1</v>
      </c>
      <c r="F69" s="158">
        <v>8</v>
      </c>
      <c r="G69" s="158">
        <v>1.5</v>
      </c>
      <c r="H69" s="158">
        <v>4</v>
      </c>
      <c r="I69" s="158">
        <v>2</v>
      </c>
      <c r="J69" s="158">
        <v>11</v>
      </c>
      <c r="K69" s="159">
        <v>1</v>
      </c>
    </row>
    <row r="70" spans="3:11" ht="12.75">
      <c r="C70" s="344">
        <v>664</v>
      </c>
      <c r="D70" s="158">
        <v>37</v>
      </c>
      <c r="E70" s="158">
        <v>1</v>
      </c>
      <c r="F70" s="158">
        <v>9</v>
      </c>
      <c r="G70" s="158">
        <v>1.5</v>
      </c>
      <c r="H70" s="158">
        <v>4</v>
      </c>
      <c r="I70" s="158">
        <v>2</v>
      </c>
      <c r="J70" s="158">
        <v>9</v>
      </c>
      <c r="K70" s="159">
        <v>1</v>
      </c>
    </row>
    <row r="71" spans="3:11" ht="12.75">
      <c r="C71" s="344">
        <v>622</v>
      </c>
      <c r="D71" s="158">
        <v>36</v>
      </c>
      <c r="E71" s="158">
        <v>1</v>
      </c>
      <c r="F71" s="158">
        <v>11</v>
      </c>
      <c r="G71" s="158">
        <v>1.5</v>
      </c>
      <c r="H71" s="158">
        <v>5</v>
      </c>
      <c r="I71" s="158">
        <v>1</v>
      </c>
      <c r="J71" s="158">
        <v>9</v>
      </c>
      <c r="K71" s="159">
        <v>3</v>
      </c>
    </row>
    <row r="72" spans="3:11" ht="12.75">
      <c r="C72" s="566">
        <v>760</v>
      </c>
      <c r="D72" s="161">
        <v>39</v>
      </c>
      <c r="E72" s="161">
        <v>1</v>
      </c>
      <c r="F72" s="161">
        <v>13</v>
      </c>
      <c r="G72" s="161">
        <v>1.5</v>
      </c>
      <c r="H72" s="161">
        <v>6</v>
      </c>
      <c r="I72" s="161">
        <v>2</v>
      </c>
      <c r="J72" s="161">
        <v>6</v>
      </c>
      <c r="K72" s="162">
        <v>8</v>
      </c>
    </row>
    <row r="73" spans="3:11" ht="12.75">
      <c r="C73" s="576" t="s">
        <v>371</v>
      </c>
      <c r="D73" s="279"/>
      <c r="E73" s="279"/>
      <c r="F73" s="279"/>
      <c r="G73" s="279"/>
      <c r="H73" s="279"/>
      <c r="I73" s="279"/>
      <c r="J73" s="279"/>
      <c r="K73" s="279"/>
    </row>
    <row r="75" ht="12.75">
      <c r="C75" t="s">
        <v>314</v>
      </c>
    </row>
    <row r="76" ht="12.75">
      <c r="C76" t="s">
        <v>315</v>
      </c>
    </row>
    <row r="77" ht="12.75">
      <c r="C77" t="s">
        <v>316</v>
      </c>
    </row>
    <row r="78" ht="12.75">
      <c r="C78" t="s">
        <v>317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O193"/>
  <sheetViews>
    <sheetView workbookViewId="0" topLeftCell="A1">
      <selection activeCell="A1" sqref="A1"/>
    </sheetView>
  </sheetViews>
  <sheetFormatPr defaultColWidth="11.421875" defaultRowHeight="12.75"/>
  <cols>
    <col min="1" max="1" width="7.421875" style="0" customWidth="1"/>
    <col min="2" max="2" width="6.140625" style="2" customWidth="1"/>
    <col min="3" max="3" width="14.28125" style="0" customWidth="1"/>
    <col min="4" max="4" width="12.7109375" style="0" customWidth="1"/>
    <col min="5" max="5" width="12.7109375" style="499" customWidth="1"/>
    <col min="6" max="9" width="7.7109375" style="0" customWidth="1"/>
    <col min="10" max="10" width="7.7109375" style="577" customWidth="1"/>
    <col min="11" max="15" width="7.7109375" style="0" customWidth="1"/>
  </cols>
  <sheetData>
    <row r="2" ht="12.75">
      <c r="C2" s="204" t="s">
        <v>35</v>
      </c>
    </row>
    <row r="3" spans="2:10" s="337" customFormat="1" ht="12.75">
      <c r="B3" s="77"/>
      <c r="C3" s="337" t="s">
        <v>372</v>
      </c>
      <c r="E3" s="578"/>
      <c r="J3" s="579"/>
    </row>
    <row r="5" ht="12.75">
      <c r="C5" t="s">
        <v>373</v>
      </c>
    </row>
    <row r="6" ht="12.75">
      <c r="C6" t="s">
        <v>374</v>
      </c>
    </row>
    <row r="8" spans="3:4" ht="12.75">
      <c r="C8" s="1" t="s">
        <v>375</v>
      </c>
      <c r="D8" t="s">
        <v>376</v>
      </c>
    </row>
    <row r="9" spans="3:4" ht="12.75">
      <c r="C9" s="1" t="s">
        <v>377</v>
      </c>
      <c r="D9" t="s">
        <v>378</v>
      </c>
    </row>
    <row r="10" spans="3:4" ht="12.75">
      <c r="C10" s="1" t="s">
        <v>379</v>
      </c>
      <c r="D10" t="s">
        <v>380</v>
      </c>
    </row>
    <row r="11" spans="3:4" ht="12.75">
      <c r="C11" s="1" t="s">
        <v>381</v>
      </c>
      <c r="D11" t="s">
        <v>382</v>
      </c>
    </row>
    <row r="12" spans="3:4" ht="12.75">
      <c r="C12" s="1" t="s">
        <v>383</v>
      </c>
      <c r="D12" t="s">
        <v>384</v>
      </c>
    </row>
    <row r="13" spans="3:4" ht="12.75">
      <c r="C13" s="1" t="s">
        <v>385</v>
      </c>
      <c r="D13" t="s">
        <v>386</v>
      </c>
    </row>
    <row r="14" spans="3:4" ht="12.75">
      <c r="C14" s="1" t="s">
        <v>387</v>
      </c>
      <c r="D14" t="s">
        <v>388</v>
      </c>
    </row>
    <row r="15" spans="3:4" ht="12.75">
      <c r="C15" s="1" t="s">
        <v>389</v>
      </c>
      <c r="D15" t="s">
        <v>390</v>
      </c>
    </row>
    <row r="16" spans="3:4" ht="12.75">
      <c r="C16" s="1" t="s">
        <v>391</v>
      </c>
      <c r="D16" t="s">
        <v>392</v>
      </c>
    </row>
    <row r="17" spans="3:4" ht="12.75">
      <c r="C17" s="1" t="s">
        <v>393</v>
      </c>
      <c r="D17" t="s">
        <v>394</v>
      </c>
    </row>
    <row r="18" spans="3:4" ht="12.75">
      <c r="C18" s="1" t="s">
        <v>395</v>
      </c>
      <c r="D18" t="s">
        <v>396</v>
      </c>
    </row>
    <row r="19" spans="3:4" ht="12.75">
      <c r="C19" s="1" t="s">
        <v>397</v>
      </c>
      <c r="D19" t="s">
        <v>398</v>
      </c>
    </row>
    <row r="20" ht="13.5" customHeight="1">
      <c r="C20" s="1"/>
    </row>
    <row r="21" ht="12.75">
      <c r="C21" t="s">
        <v>399</v>
      </c>
    </row>
    <row r="22" ht="12.75">
      <c r="C22" s="337"/>
    </row>
    <row r="23" spans="2:3" ht="12.75">
      <c r="B23" s="2" t="s">
        <v>400</v>
      </c>
      <c r="C23" t="s">
        <v>401</v>
      </c>
    </row>
    <row r="24" ht="12.75">
      <c r="C24" s="316" t="s">
        <v>402</v>
      </c>
    </row>
    <row r="25" ht="12.75">
      <c r="C25" s="337"/>
    </row>
    <row r="26" spans="2:3" ht="12.75">
      <c r="B26" s="2" t="s">
        <v>403</v>
      </c>
      <c r="C26" t="s">
        <v>404</v>
      </c>
    </row>
    <row r="27" ht="12.75">
      <c r="C27" t="s">
        <v>405</v>
      </c>
    </row>
    <row r="28" ht="12.75">
      <c r="C28" s="337" t="s">
        <v>406</v>
      </c>
    </row>
    <row r="29" ht="12.75">
      <c r="C29" t="s">
        <v>407</v>
      </c>
    </row>
    <row r="30" ht="12.75">
      <c r="C30" t="s">
        <v>408</v>
      </c>
    </row>
    <row r="31" ht="12.75">
      <c r="C31" s="337"/>
    </row>
    <row r="32" spans="2:3" ht="12.75">
      <c r="B32" s="2" t="s">
        <v>409</v>
      </c>
      <c r="C32" s="338" t="s">
        <v>410</v>
      </c>
    </row>
    <row r="33" ht="12.75">
      <c r="C33" t="s">
        <v>411</v>
      </c>
    </row>
    <row r="34" ht="12.75">
      <c r="C34" s="337" t="s">
        <v>406</v>
      </c>
    </row>
    <row r="35" ht="12.75">
      <c r="C35" s="337" t="s">
        <v>412</v>
      </c>
    </row>
    <row r="36" ht="12.75">
      <c r="C36" t="s">
        <v>413</v>
      </c>
    </row>
    <row r="37" ht="12.75">
      <c r="C37" s="337"/>
    </row>
    <row r="38" spans="2:3" ht="12.75">
      <c r="B38" s="2" t="s">
        <v>414</v>
      </c>
      <c r="C38" t="s">
        <v>415</v>
      </c>
    </row>
    <row r="39" ht="12.75">
      <c r="C39" s="337" t="s">
        <v>416</v>
      </c>
    </row>
    <row r="40" ht="12.75">
      <c r="C40" s="337" t="s">
        <v>417</v>
      </c>
    </row>
    <row r="41" ht="12.75">
      <c r="C41" t="s">
        <v>422</v>
      </c>
    </row>
    <row r="42" ht="12.75">
      <c r="C42" s="337" t="s">
        <v>423</v>
      </c>
    </row>
    <row r="43" ht="12.75">
      <c r="C43" s="337"/>
    </row>
    <row r="44" ht="12.75">
      <c r="C44" s="337" t="s">
        <v>424</v>
      </c>
    </row>
    <row r="45" ht="12.75">
      <c r="C45" s="337"/>
    </row>
    <row r="46" spans="2:3" ht="12.75">
      <c r="B46" s="2" t="s">
        <v>425</v>
      </c>
      <c r="C46" s="337" t="s">
        <v>426</v>
      </c>
    </row>
    <row r="47" ht="12.75">
      <c r="C47" t="s">
        <v>427</v>
      </c>
    </row>
    <row r="48" ht="12.75">
      <c r="C48" s="337" t="s">
        <v>416</v>
      </c>
    </row>
    <row r="49" ht="12.75">
      <c r="C49" s="337" t="s">
        <v>417</v>
      </c>
    </row>
    <row r="50" ht="12.75">
      <c r="C50" t="s">
        <v>428</v>
      </c>
    </row>
    <row r="51" ht="13.5" thickBot="1"/>
    <row r="52" spans="2:15" s="3" customFormat="1" ht="13.5" thickBot="1">
      <c r="B52" s="2"/>
      <c r="C52" s="427" t="s">
        <v>170</v>
      </c>
      <c r="D52" s="29" t="s">
        <v>377</v>
      </c>
      <c r="E52" s="567" t="s">
        <v>379</v>
      </c>
      <c r="F52" s="29" t="s">
        <v>375</v>
      </c>
      <c r="G52" s="29" t="s">
        <v>381</v>
      </c>
      <c r="H52" s="29" t="s">
        <v>383</v>
      </c>
      <c r="I52" s="29" t="s">
        <v>385</v>
      </c>
      <c r="J52" s="29" t="s">
        <v>387</v>
      </c>
      <c r="K52" s="29" t="s">
        <v>389</v>
      </c>
      <c r="L52" s="29" t="s">
        <v>391</v>
      </c>
      <c r="M52" s="29" t="s">
        <v>393</v>
      </c>
      <c r="N52" s="29" t="s">
        <v>395</v>
      </c>
      <c r="O52" s="48" t="s">
        <v>397</v>
      </c>
    </row>
    <row r="53" spans="3:15" ht="12.75">
      <c r="C53" s="580" t="s">
        <v>429</v>
      </c>
      <c r="D53" s="68">
        <v>6011</v>
      </c>
      <c r="E53" s="581">
        <f>LN(D53)</f>
        <v>8.701346403039162</v>
      </c>
      <c r="F53" s="68">
        <v>34</v>
      </c>
      <c r="G53" s="68">
        <v>2.38</v>
      </c>
      <c r="H53" s="68">
        <v>30.7</v>
      </c>
      <c r="I53" s="68">
        <v>63.3</v>
      </c>
      <c r="J53" s="582" t="s">
        <v>430</v>
      </c>
      <c r="K53" s="68">
        <v>31.2</v>
      </c>
      <c r="L53" s="68">
        <v>108</v>
      </c>
      <c r="M53" s="581">
        <f>LN(L53)</f>
        <v>4.68213122712422</v>
      </c>
      <c r="N53" s="68">
        <v>3.5</v>
      </c>
      <c r="O53" s="51">
        <v>2</v>
      </c>
    </row>
    <row r="54" spans="3:15" ht="12.75">
      <c r="C54" s="583" t="s">
        <v>431</v>
      </c>
      <c r="D54" s="14">
        <v>3533</v>
      </c>
      <c r="E54" s="584">
        <f aca="true" t="shared" si="0" ref="E54:E117">LN(D54)</f>
        <v>8.169902647359145</v>
      </c>
      <c r="F54" s="14">
        <v>154</v>
      </c>
      <c r="G54" s="14">
        <v>6.43</v>
      </c>
      <c r="H54" s="14">
        <v>45.8</v>
      </c>
      <c r="I54" s="14">
        <v>53.3</v>
      </c>
      <c r="J54" s="585" t="s">
        <v>432</v>
      </c>
      <c r="K54" s="14">
        <v>242.5</v>
      </c>
      <c r="L54" s="14">
        <v>36</v>
      </c>
      <c r="M54" s="584">
        <f aca="true" t="shared" si="1" ref="M54:M117">LN(L54)</f>
        <v>3.58351893845611</v>
      </c>
      <c r="N54" s="14">
        <v>1.8</v>
      </c>
      <c r="O54" s="54">
        <v>-2</v>
      </c>
    </row>
    <row r="55" spans="3:15" ht="12.75">
      <c r="C55" s="583" t="s">
        <v>433</v>
      </c>
      <c r="D55" s="14">
        <v>11063</v>
      </c>
      <c r="E55" s="584">
        <f t="shared" si="0"/>
        <v>9.311361486034912</v>
      </c>
      <c r="F55" s="14">
        <v>14</v>
      </c>
      <c r="G55" s="14">
        <v>2.25</v>
      </c>
      <c r="H55" s="14">
        <v>42.9</v>
      </c>
      <c r="I55" s="14">
        <v>90.1</v>
      </c>
      <c r="J55" s="585" t="s">
        <v>434</v>
      </c>
      <c r="K55" s="14">
        <v>16.7</v>
      </c>
      <c r="L55" s="14">
        <v>484</v>
      </c>
      <c r="M55" s="584">
        <f t="shared" si="1"/>
        <v>6.182084906716632</v>
      </c>
      <c r="N55" s="14">
        <v>10.2</v>
      </c>
      <c r="O55" s="54">
        <v>8</v>
      </c>
    </row>
    <row r="56" spans="3:15" ht="12.75">
      <c r="C56" s="583" t="s">
        <v>435</v>
      </c>
      <c r="D56" s="14">
        <v>3903</v>
      </c>
      <c r="E56" s="584">
        <f t="shared" si="0"/>
        <v>8.269500767180615</v>
      </c>
      <c r="F56" s="14">
        <v>23</v>
      </c>
      <c r="G56" s="14">
        <v>1.39</v>
      </c>
      <c r="H56" s="14">
        <v>49.2</v>
      </c>
      <c r="I56" s="14">
        <v>64.1</v>
      </c>
      <c r="J56" s="585" t="s">
        <v>436</v>
      </c>
      <c r="K56" s="14">
        <v>27.7</v>
      </c>
      <c r="L56" s="14">
        <v>88</v>
      </c>
      <c r="M56" s="584">
        <f t="shared" si="1"/>
        <v>4.477336814478207</v>
      </c>
      <c r="N56" s="14">
        <v>5.4</v>
      </c>
      <c r="O56" s="54">
        <v>5</v>
      </c>
    </row>
    <row r="57" spans="3:15" ht="12.75">
      <c r="C57" s="583" t="s">
        <v>437</v>
      </c>
      <c r="D57" s="14">
        <v>32798</v>
      </c>
      <c r="E57" s="584">
        <f t="shared" si="0"/>
        <v>10.39812281690339</v>
      </c>
      <c r="F57" s="14">
        <v>5</v>
      </c>
      <c r="G57" s="14">
        <v>1.79</v>
      </c>
      <c r="H57" s="14">
        <v>45.5</v>
      </c>
      <c r="I57" s="14">
        <v>88.2</v>
      </c>
      <c r="J57" s="585" t="s">
        <v>438</v>
      </c>
      <c r="K57" s="14">
        <v>5.1</v>
      </c>
      <c r="L57" s="14">
        <v>3181</v>
      </c>
      <c r="M57" s="584">
        <f t="shared" si="1"/>
        <v>8.064950891749143</v>
      </c>
      <c r="N57" s="14">
        <v>8.8</v>
      </c>
      <c r="O57" s="54">
        <v>10</v>
      </c>
    </row>
    <row r="58" spans="3:15" ht="12.75">
      <c r="C58" s="583" t="s">
        <v>439</v>
      </c>
      <c r="D58" s="14">
        <v>34108</v>
      </c>
      <c r="E58" s="584">
        <f t="shared" si="0"/>
        <v>10.43728723986194</v>
      </c>
      <c r="F58" s="14">
        <v>4</v>
      </c>
      <c r="G58" s="14">
        <v>1.42</v>
      </c>
      <c r="H58" s="14">
        <v>44.6</v>
      </c>
      <c r="I58" s="14">
        <v>66</v>
      </c>
      <c r="J58" s="585" t="s">
        <v>440</v>
      </c>
      <c r="K58" s="14">
        <v>4.3</v>
      </c>
      <c r="L58" s="14">
        <v>3788</v>
      </c>
      <c r="M58" s="584">
        <f t="shared" si="1"/>
        <v>8.239593454305968</v>
      </c>
      <c r="N58" s="14">
        <v>10.2</v>
      </c>
      <c r="O58" s="54">
        <v>10</v>
      </c>
    </row>
    <row r="59" spans="3:15" ht="12.75">
      <c r="C59" s="583" t="s">
        <v>441</v>
      </c>
      <c r="D59" s="14">
        <v>4648</v>
      </c>
      <c r="E59" s="584">
        <f t="shared" si="0"/>
        <v>8.444192298531748</v>
      </c>
      <c r="F59" s="14">
        <v>74</v>
      </c>
      <c r="G59" s="14">
        <v>1.82</v>
      </c>
      <c r="H59" s="14">
        <v>47.7</v>
      </c>
      <c r="I59" s="14">
        <v>51.5</v>
      </c>
      <c r="J59" s="585" t="s">
        <v>442</v>
      </c>
      <c r="K59" s="14">
        <v>63.7</v>
      </c>
      <c r="L59" s="14">
        <v>62</v>
      </c>
      <c r="M59" s="584">
        <f t="shared" si="1"/>
        <v>4.127134385045092</v>
      </c>
      <c r="N59" s="14">
        <v>3.9</v>
      </c>
      <c r="O59" s="54">
        <v>-7</v>
      </c>
    </row>
    <row r="60" spans="3:15" ht="12.75">
      <c r="C60" s="583" t="s">
        <v>443</v>
      </c>
      <c r="D60" s="14">
        <v>1268</v>
      </c>
      <c r="E60" s="584">
        <f t="shared" si="0"/>
        <v>7.145196134997171</v>
      </c>
      <c r="F60" s="14">
        <v>54</v>
      </c>
      <c r="G60" s="14">
        <v>2.83</v>
      </c>
      <c r="H60" s="14">
        <v>36.9</v>
      </c>
      <c r="I60" s="14">
        <v>25.1</v>
      </c>
      <c r="J60" s="585" t="s">
        <v>444</v>
      </c>
      <c r="K60" s="14">
        <v>76</v>
      </c>
      <c r="L60" s="14">
        <v>12</v>
      </c>
      <c r="M60" s="584">
        <f t="shared" si="1"/>
        <v>2.4849066497880004</v>
      </c>
      <c r="N60" s="14">
        <v>2.8</v>
      </c>
      <c r="O60" s="54">
        <v>6</v>
      </c>
    </row>
    <row r="61" spans="3:15" ht="12.75">
      <c r="C61" s="583" t="s">
        <v>445</v>
      </c>
      <c r="D61" s="14">
        <v>32077</v>
      </c>
      <c r="E61" s="584">
        <f t="shared" si="0"/>
        <v>10.375894541398061</v>
      </c>
      <c r="F61" s="14">
        <v>4</v>
      </c>
      <c r="G61" s="14">
        <v>1.65</v>
      </c>
      <c r="H61" s="14">
        <v>43.5</v>
      </c>
      <c r="I61" s="14">
        <v>97.2</v>
      </c>
      <c r="J61" s="585" t="s">
        <v>446</v>
      </c>
      <c r="K61" s="14">
        <v>4.8</v>
      </c>
      <c r="L61" s="14">
        <v>3451</v>
      </c>
      <c r="M61" s="584">
        <f t="shared" si="1"/>
        <v>8.146419323098003</v>
      </c>
      <c r="N61" s="14">
        <v>9.6</v>
      </c>
      <c r="O61" s="54">
        <v>10</v>
      </c>
    </row>
    <row r="62" spans="3:15" ht="12.75">
      <c r="C62" s="583" t="s">
        <v>447</v>
      </c>
      <c r="D62" s="14">
        <v>1390</v>
      </c>
      <c r="E62" s="584">
        <f t="shared" si="0"/>
        <v>7.237059026124737</v>
      </c>
      <c r="F62" s="14">
        <v>89</v>
      </c>
      <c r="G62" s="14">
        <v>5.42</v>
      </c>
      <c r="H62" s="14">
        <v>38.3</v>
      </c>
      <c r="I62" s="14">
        <v>40.1</v>
      </c>
      <c r="J62" s="585" t="s">
        <v>448</v>
      </c>
      <c r="K62" s="14">
        <v>133.6</v>
      </c>
      <c r="L62" s="14">
        <v>28</v>
      </c>
      <c r="M62" s="584">
        <f t="shared" si="1"/>
        <v>3.332204510175204</v>
      </c>
      <c r="N62" s="14">
        <v>5.4</v>
      </c>
      <c r="O62" s="54">
        <v>6</v>
      </c>
    </row>
    <row r="63" spans="3:15" ht="12.75">
      <c r="C63" s="583" t="s">
        <v>449</v>
      </c>
      <c r="D63" s="14">
        <v>3618</v>
      </c>
      <c r="E63" s="584">
        <f t="shared" si="0"/>
        <v>8.193676665955241</v>
      </c>
      <c r="F63" s="14">
        <v>52</v>
      </c>
      <c r="G63" s="14">
        <v>3.5</v>
      </c>
      <c r="H63" s="14">
        <v>43.6</v>
      </c>
      <c r="I63" s="14">
        <v>64.2</v>
      </c>
      <c r="J63" s="585" t="s">
        <v>450</v>
      </c>
      <c r="K63" s="14">
        <v>67.3</v>
      </c>
      <c r="L63" s="14">
        <v>71</v>
      </c>
      <c r="M63" s="584">
        <f t="shared" si="1"/>
        <v>4.2626798770413155</v>
      </c>
      <c r="N63" s="14">
        <v>6.9</v>
      </c>
      <c r="O63" s="54">
        <v>8</v>
      </c>
    </row>
    <row r="64" spans="3:15" ht="12.75">
      <c r="C64" s="583" t="s">
        <v>451</v>
      </c>
      <c r="D64" s="14">
        <v>8596</v>
      </c>
      <c r="E64" s="584">
        <f t="shared" si="0"/>
        <v>9.059052257762401</v>
      </c>
      <c r="F64" s="14">
        <v>20</v>
      </c>
      <c r="G64" s="14">
        <v>2.25</v>
      </c>
      <c r="H64" s="14">
        <v>42.9</v>
      </c>
      <c r="I64" s="14">
        <v>84.2</v>
      </c>
      <c r="J64" s="585" t="s">
        <v>452</v>
      </c>
      <c r="K64" s="14">
        <v>25.5</v>
      </c>
      <c r="L64" s="14">
        <v>371</v>
      </c>
      <c r="M64" s="584">
        <f t="shared" si="1"/>
        <v>5.916202062607435</v>
      </c>
      <c r="N64" s="14">
        <v>7.9</v>
      </c>
      <c r="O64" s="54">
        <v>8</v>
      </c>
    </row>
    <row r="65" spans="3:15" ht="12.75">
      <c r="C65" s="583" t="s">
        <v>453</v>
      </c>
      <c r="D65" s="14">
        <v>9353</v>
      </c>
      <c r="E65" s="584">
        <f t="shared" si="0"/>
        <v>9.143452426434552</v>
      </c>
      <c r="F65" s="14">
        <v>12</v>
      </c>
      <c r="G65" s="14">
        <v>1.31</v>
      </c>
      <c r="H65" s="14">
        <v>46</v>
      </c>
      <c r="I65" s="14">
        <v>70</v>
      </c>
      <c r="J65" s="585" t="s">
        <v>454</v>
      </c>
      <c r="K65" s="14">
        <v>15.2</v>
      </c>
      <c r="L65" s="14">
        <v>272</v>
      </c>
      <c r="M65" s="584">
        <f t="shared" si="1"/>
        <v>5.605802066295998</v>
      </c>
      <c r="N65" s="14">
        <v>7.7</v>
      </c>
      <c r="O65" s="54">
        <v>9</v>
      </c>
    </row>
    <row r="66" spans="3:15" ht="12.75">
      <c r="C66" s="583" t="s">
        <v>455</v>
      </c>
      <c r="D66" s="14">
        <v>1140</v>
      </c>
      <c r="E66" s="584">
        <f t="shared" si="0"/>
        <v>7.038783541388542</v>
      </c>
      <c r="F66" s="14">
        <v>121</v>
      </c>
      <c r="G66" s="14">
        <v>6</v>
      </c>
      <c r="H66" s="14">
        <v>46.6</v>
      </c>
      <c r="I66" s="14">
        <v>18.3</v>
      </c>
      <c r="J66" s="585" t="s">
        <v>456</v>
      </c>
      <c r="K66" s="14">
        <v>168.2</v>
      </c>
      <c r="L66" s="14">
        <v>27</v>
      </c>
      <c r="M66" s="584">
        <f t="shared" si="1"/>
        <v>3.295836866004329</v>
      </c>
      <c r="N66" s="14">
        <v>6.7</v>
      </c>
      <c r="O66" s="54">
        <v>0</v>
      </c>
    </row>
    <row r="67" spans="3:15" ht="12.75">
      <c r="C67" s="583" t="s">
        <v>457</v>
      </c>
      <c r="D67" s="14">
        <v>1453</v>
      </c>
      <c r="E67" s="584">
        <f t="shared" si="0"/>
        <v>7.2813856635702825</v>
      </c>
      <c r="F67" s="14">
        <v>67</v>
      </c>
      <c r="G67" s="14">
        <v>3.18</v>
      </c>
      <c r="H67" s="14">
        <v>51.4</v>
      </c>
      <c r="I67" s="14">
        <v>19.7</v>
      </c>
      <c r="J67" s="585" t="s">
        <v>458</v>
      </c>
      <c r="K67" s="14">
        <v>94.3</v>
      </c>
      <c r="L67" s="14">
        <v>29</v>
      </c>
      <c r="M67" s="584">
        <f t="shared" si="1"/>
        <v>3.367295829986474</v>
      </c>
      <c r="N67" s="14">
        <v>6.4</v>
      </c>
      <c r="O67" s="54">
        <v>2</v>
      </c>
    </row>
    <row r="68" spans="3:15" ht="12.75">
      <c r="C68" s="583" t="s">
        <v>459</v>
      </c>
      <c r="D68" s="14">
        <v>1995</v>
      </c>
      <c r="E68" s="584">
        <f t="shared" si="0"/>
        <v>7.598399329323964</v>
      </c>
      <c r="F68" s="14">
        <v>87</v>
      </c>
      <c r="G68" s="14">
        <v>4.31</v>
      </c>
      <c r="H68" s="14">
        <v>39.9</v>
      </c>
      <c r="I68" s="14">
        <v>54.6</v>
      </c>
      <c r="J68" s="585" t="s">
        <v>460</v>
      </c>
      <c r="K68" s="14">
        <v>127.8</v>
      </c>
      <c r="L68" s="14">
        <v>49</v>
      </c>
      <c r="M68" s="584">
        <f t="shared" si="1"/>
        <v>3.8918202981106265</v>
      </c>
      <c r="N68" s="14">
        <v>5.2</v>
      </c>
      <c r="O68" s="54">
        <v>-4</v>
      </c>
    </row>
    <row r="69" spans="3:15" ht="12.75">
      <c r="C69" s="583" t="s">
        <v>174</v>
      </c>
      <c r="D69" s="14">
        <v>35078</v>
      </c>
      <c r="E69" s="584">
        <f t="shared" si="0"/>
        <v>10.465329432318082</v>
      </c>
      <c r="F69" s="14">
        <v>5</v>
      </c>
      <c r="G69" s="14">
        <v>1.53</v>
      </c>
      <c r="H69" s="14">
        <v>46.4</v>
      </c>
      <c r="I69" s="14">
        <v>80.1</v>
      </c>
      <c r="J69" s="585" t="s">
        <v>461</v>
      </c>
      <c r="K69" s="14">
        <v>4.9</v>
      </c>
      <c r="L69" s="14">
        <v>3430</v>
      </c>
      <c r="M69" s="584">
        <f t="shared" si="1"/>
        <v>8.140315540159985</v>
      </c>
      <c r="N69" s="14">
        <v>9.7</v>
      </c>
      <c r="O69" s="54">
        <v>10</v>
      </c>
    </row>
    <row r="70" spans="3:15" ht="12.75">
      <c r="C70" s="583" t="s">
        <v>462</v>
      </c>
      <c r="D70" s="14">
        <v>1749</v>
      </c>
      <c r="E70" s="584">
        <f t="shared" si="0"/>
        <v>7.466799475018602</v>
      </c>
      <c r="F70" s="14">
        <v>124</v>
      </c>
      <c r="G70" s="14">
        <v>6.2</v>
      </c>
      <c r="H70" s="14">
        <v>46.9</v>
      </c>
      <c r="I70" s="14">
        <v>25.3</v>
      </c>
      <c r="J70" s="585" t="s">
        <v>463</v>
      </c>
      <c r="K70" s="14">
        <v>180.1</v>
      </c>
      <c r="L70" s="14">
        <v>22</v>
      </c>
      <c r="M70" s="584">
        <f t="shared" si="1"/>
        <v>3.091042453358316</v>
      </c>
      <c r="N70" s="14">
        <v>3.7</v>
      </c>
      <c r="O70" s="54">
        <v>-2</v>
      </c>
    </row>
    <row r="71" spans="3:15" ht="12.75">
      <c r="C71" s="583" t="s">
        <v>464</v>
      </c>
      <c r="D71" s="14">
        <v>12262</v>
      </c>
      <c r="E71" s="584">
        <f t="shared" si="0"/>
        <v>9.414260328322634</v>
      </c>
      <c r="F71" s="14">
        <v>8</v>
      </c>
      <c r="G71" s="14">
        <v>1.94</v>
      </c>
      <c r="H71" s="14">
        <v>35.1</v>
      </c>
      <c r="I71" s="14">
        <v>87.6</v>
      </c>
      <c r="J71" s="585" t="s">
        <v>465</v>
      </c>
      <c r="K71" s="14">
        <v>7.6</v>
      </c>
      <c r="L71" s="14">
        <v>397</v>
      </c>
      <c r="M71" s="584">
        <f t="shared" si="1"/>
        <v>5.983936280687191</v>
      </c>
      <c r="N71" s="14">
        <v>5.4</v>
      </c>
      <c r="O71" s="54">
        <v>9</v>
      </c>
    </row>
    <row r="72" spans="3:15" ht="12.75">
      <c r="C72" s="583" t="s">
        <v>466</v>
      </c>
      <c r="D72" s="14">
        <v>4091</v>
      </c>
      <c r="E72" s="584">
        <f t="shared" si="0"/>
        <v>8.316544717929398</v>
      </c>
      <c r="F72" s="14">
        <v>21</v>
      </c>
      <c r="G72" s="14">
        <v>1.73</v>
      </c>
      <c r="H72" s="14">
        <v>44.5</v>
      </c>
      <c r="I72" s="14">
        <v>40.4</v>
      </c>
      <c r="J72" s="585" t="s">
        <v>467</v>
      </c>
      <c r="K72" s="14">
        <v>27.8</v>
      </c>
      <c r="L72" s="14">
        <v>81</v>
      </c>
      <c r="M72" s="584">
        <f t="shared" si="1"/>
        <v>4.394449154672439</v>
      </c>
      <c r="N72" s="14">
        <v>4.7</v>
      </c>
      <c r="O72" s="54">
        <v>-7</v>
      </c>
    </row>
    <row r="73" spans="3:15" ht="12.75">
      <c r="C73" s="583" t="s">
        <v>468</v>
      </c>
      <c r="D73" s="14">
        <v>6306</v>
      </c>
      <c r="E73" s="584">
        <f t="shared" si="0"/>
        <v>8.749256840105007</v>
      </c>
      <c r="F73" s="14">
        <v>17</v>
      </c>
      <c r="G73" s="14">
        <v>2.22</v>
      </c>
      <c r="H73" s="14">
        <v>44.3</v>
      </c>
      <c r="I73" s="14">
        <v>72.7</v>
      </c>
      <c r="J73" s="585" t="s">
        <v>469</v>
      </c>
      <c r="K73" s="14">
        <v>17.6</v>
      </c>
      <c r="L73" s="14">
        <v>201</v>
      </c>
      <c r="M73" s="584">
        <f t="shared" si="1"/>
        <v>5.303304908059076</v>
      </c>
      <c r="N73" s="14">
        <v>7.3</v>
      </c>
      <c r="O73" s="54">
        <v>7</v>
      </c>
    </row>
    <row r="74" spans="3:15" ht="12.75">
      <c r="C74" s="583" t="s">
        <v>470</v>
      </c>
      <c r="D74" s="14">
        <v>8661</v>
      </c>
      <c r="E74" s="584">
        <f t="shared" si="0"/>
        <v>9.066585468331045</v>
      </c>
      <c r="F74" s="14">
        <v>11</v>
      </c>
      <c r="G74" s="14">
        <v>2.1</v>
      </c>
      <c r="H74" s="14">
        <v>35.1</v>
      </c>
      <c r="I74" s="14">
        <v>61.7</v>
      </c>
      <c r="J74" s="585" t="s">
        <v>471</v>
      </c>
      <c r="K74" s="14">
        <v>11.6</v>
      </c>
      <c r="L74" s="14">
        <v>327</v>
      </c>
      <c r="M74" s="584">
        <f t="shared" si="1"/>
        <v>5.7899601708972535</v>
      </c>
      <c r="N74" s="14">
        <v>7.1</v>
      </c>
      <c r="O74" s="54">
        <v>10</v>
      </c>
    </row>
    <row r="75" spans="3:15" ht="12.75">
      <c r="C75" s="583" t="s">
        <v>472</v>
      </c>
      <c r="D75" s="14">
        <v>1575</v>
      </c>
      <c r="E75" s="584">
        <f t="shared" si="0"/>
        <v>7.362010551259734</v>
      </c>
      <c r="F75" s="14">
        <v>91</v>
      </c>
      <c r="G75" s="14">
        <v>4.46</v>
      </c>
      <c r="H75" s="14">
        <v>29.3</v>
      </c>
      <c r="I75" s="14">
        <v>45</v>
      </c>
      <c r="J75" s="585" t="s">
        <v>473</v>
      </c>
      <c r="K75" s="14">
        <v>114.3</v>
      </c>
      <c r="L75" s="14">
        <v>34</v>
      </c>
      <c r="M75" s="584">
        <f t="shared" si="1"/>
        <v>3.5263605246161616</v>
      </c>
      <c r="N75" s="14">
        <v>3.9</v>
      </c>
      <c r="O75" s="54">
        <v>0</v>
      </c>
    </row>
    <row r="76" spans="3:15" ht="12.75">
      <c r="C76" s="583" t="s">
        <v>474</v>
      </c>
      <c r="D76" s="14">
        <v>13232</v>
      </c>
      <c r="E76" s="584">
        <f t="shared" si="0"/>
        <v>9.490393417263473</v>
      </c>
      <c r="F76" s="14">
        <v>6</v>
      </c>
      <c r="G76" s="14">
        <v>1.35</v>
      </c>
      <c r="H76" s="14">
        <v>45</v>
      </c>
      <c r="I76" s="14">
        <v>56.5</v>
      </c>
      <c r="J76" s="585" t="s">
        <v>438</v>
      </c>
      <c r="K76" s="14">
        <v>6.9</v>
      </c>
      <c r="L76" s="14">
        <v>651</v>
      </c>
      <c r="M76" s="584">
        <f t="shared" si="1"/>
        <v>6.478509642208569</v>
      </c>
      <c r="N76" s="14">
        <v>7.4</v>
      </c>
      <c r="O76" s="54">
        <v>9</v>
      </c>
    </row>
    <row r="77" spans="3:15" ht="12.75">
      <c r="C77" s="583" t="s">
        <v>475</v>
      </c>
      <c r="D77" s="14">
        <v>7407</v>
      </c>
      <c r="E77" s="584">
        <f t="shared" si="0"/>
        <v>8.91018077801329</v>
      </c>
      <c r="F77" s="14">
        <v>5</v>
      </c>
      <c r="G77" s="14">
        <v>1.49</v>
      </c>
      <c r="H77" s="14">
        <v>37.4</v>
      </c>
      <c r="I77" s="14">
        <v>75.5</v>
      </c>
      <c r="J77" s="585" t="s">
        <v>476</v>
      </c>
      <c r="K77" s="14">
        <v>7</v>
      </c>
      <c r="L77" s="14">
        <v>310</v>
      </c>
      <c r="M77" s="584">
        <f t="shared" si="1"/>
        <v>5.736572297479192</v>
      </c>
      <c r="N77" s="14">
        <v>7.6</v>
      </c>
      <c r="O77" s="54">
        <v>-7</v>
      </c>
    </row>
    <row r="78" spans="3:15" ht="12.75">
      <c r="C78" s="583" t="s">
        <v>477</v>
      </c>
      <c r="D78" s="14">
        <v>20281</v>
      </c>
      <c r="E78" s="584">
        <f t="shared" si="0"/>
        <v>9.917439766154132</v>
      </c>
      <c r="F78" s="14">
        <v>3</v>
      </c>
      <c r="G78" s="14">
        <v>1.24</v>
      </c>
      <c r="H78" s="14">
        <v>45.2</v>
      </c>
      <c r="I78" s="14">
        <v>73.5</v>
      </c>
      <c r="J78" s="585" t="s">
        <v>478</v>
      </c>
      <c r="K78" s="14">
        <v>4</v>
      </c>
      <c r="L78" s="14">
        <v>868</v>
      </c>
      <c r="M78" s="584">
        <f t="shared" si="1"/>
        <v>6.7661917146603505</v>
      </c>
      <c r="N78" s="14">
        <v>7.1</v>
      </c>
      <c r="O78" s="54">
        <v>10</v>
      </c>
    </row>
    <row r="79" spans="3:15" ht="12.75">
      <c r="C79" s="583" t="s">
        <v>479</v>
      </c>
      <c r="D79" s="14">
        <v>33626</v>
      </c>
      <c r="E79" s="584">
        <f t="shared" si="0"/>
        <v>10.423054856238874</v>
      </c>
      <c r="F79" s="14">
        <v>4</v>
      </c>
      <c r="G79" s="14">
        <v>1.8</v>
      </c>
      <c r="H79" s="14">
        <v>46.8</v>
      </c>
      <c r="I79" s="14">
        <v>85.6</v>
      </c>
      <c r="J79" s="585" t="s">
        <v>480</v>
      </c>
      <c r="K79" s="14">
        <v>4.8</v>
      </c>
      <c r="L79" s="14">
        <v>4350</v>
      </c>
      <c r="M79" s="584">
        <f t="shared" si="1"/>
        <v>8.37793112408273</v>
      </c>
      <c r="N79" s="14">
        <v>9.1</v>
      </c>
      <c r="O79" s="54">
        <v>10</v>
      </c>
    </row>
    <row r="80" spans="3:15" ht="12.75">
      <c r="C80" s="583" t="s">
        <v>481</v>
      </c>
      <c r="D80" s="14">
        <v>1964</v>
      </c>
      <c r="E80" s="584">
        <f t="shared" si="0"/>
        <v>7.582738488914411</v>
      </c>
      <c r="F80" s="14">
        <v>88</v>
      </c>
      <c r="G80" s="14">
        <v>3.95</v>
      </c>
      <c r="H80" s="14">
        <v>39.3</v>
      </c>
      <c r="I80" s="14">
        <v>86.1</v>
      </c>
      <c r="J80" s="585" t="s">
        <v>460</v>
      </c>
      <c r="K80" s="14">
        <v>133</v>
      </c>
      <c r="L80" s="14">
        <v>54</v>
      </c>
      <c r="M80" s="584">
        <f t="shared" si="1"/>
        <v>3.9889840465642745</v>
      </c>
      <c r="N80" s="14">
        <v>6.2</v>
      </c>
      <c r="O80" s="54">
        <v>2</v>
      </c>
    </row>
    <row r="81" spans="3:15" ht="12.75">
      <c r="C81" s="583" t="s">
        <v>482</v>
      </c>
      <c r="D81" s="14">
        <v>6533</v>
      </c>
      <c r="E81" s="584">
        <f t="shared" si="0"/>
        <v>8.78462153484075</v>
      </c>
      <c r="F81" s="14">
        <v>22</v>
      </c>
      <c r="G81" s="14">
        <v>2.58</v>
      </c>
      <c r="H81" s="14">
        <v>42.4</v>
      </c>
      <c r="I81" s="14">
        <v>62.8</v>
      </c>
      <c r="J81" s="585" t="s">
        <v>469</v>
      </c>
      <c r="K81" s="14">
        <v>25.4</v>
      </c>
      <c r="L81" s="14">
        <v>147</v>
      </c>
      <c r="M81" s="584">
        <f t="shared" si="1"/>
        <v>4.990432586778736</v>
      </c>
      <c r="N81" s="14">
        <v>5.3</v>
      </c>
      <c r="O81" s="54">
        <v>6</v>
      </c>
    </row>
    <row r="82" spans="3:15" ht="12.75">
      <c r="C82" s="583" t="s">
        <v>483</v>
      </c>
      <c r="D82" s="14">
        <v>5049</v>
      </c>
      <c r="E82" s="584">
        <f t="shared" si="0"/>
        <v>8.526945482858915</v>
      </c>
      <c r="F82" s="14">
        <v>31</v>
      </c>
      <c r="G82" s="14">
        <v>2.89</v>
      </c>
      <c r="H82" s="14">
        <v>21.7</v>
      </c>
      <c r="I82" s="14">
        <v>42.8</v>
      </c>
      <c r="J82" s="585" t="s">
        <v>484</v>
      </c>
      <c r="K82" s="14">
        <v>35.7</v>
      </c>
      <c r="L82" s="14">
        <v>78</v>
      </c>
      <c r="M82" s="584">
        <f t="shared" si="1"/>
        <v>4.356708826689592</v>
      </c>
      <c r="N82" s="14">
        <v>6.1</v>
      </c>
      <c r="O82" s="54">
        <v>-3</v>
      </c>
    </row>
    <row r="83" spans="3:15" ht="12.75">
      <c r="C83" s="583" t="s">
        <v>485</v>
      </c>
      <c r="D83" s="14">
        <v>591</v>
      </c>
      <c r="E83" s="584">
        <f t="shared" si="0"/>
        <v>6.3818160174060985</v>
      </c>
      <c r="F83" s="14">
        <v>80</v>
      </c>
      <c r="G83" s="14">
        <v>5.29</v>
      </c>
      <c r="H83" s="14">
        <v>44.9</v>
      </c>
      <c r="I83" s="14">
        <v>16</v>
      </c>
      <c r="J83" s="585" t="s">
        <v>448</v>
      </c>
      <c r="K83" s="14">
        <v>120</v>
      </c>
      <c r="L83" s="14">
        <v>6</v>
      </c>
      <c r="M83" s="584">
        <f t="shared" si="1"/>
        <v>1.791759469228055</v>
      </c>
      <c r="N83" s="14">
        <v>4.9</v>
      </c>
      <c r="O83" s="54">
        <v>1</v>
      </c>
    </row>
    <row r="84" spans="3:15" ht="12.75">
      <c r="C84" s="583" t="s">
        <v>486</v>
      </c>
      <c r="D84" s="14">
        <v>30469</v>
      </c>
      <c r="E84" s="584">
        <f t="shared" si="0"/>
        <v>10.324465052274801</v>
      </c>
      <c r="F84" s="14">
        <v>3</v>
      </c>
      <c r="G84" s="14">
        <v>1.83</v>
      </c>
      <c r="H84" s="14">
        <v>47.8</v>
      </c>
      <c r="I84" s="14">
        <v>61.1</v>
      </c>
      <c r="J84" s="585" t="s">
        <v>461</v>
      </c>
      <c r="K84" s="14">
        <v>3.4</v>
      </c>
      <c r="L84" s="14">
        <v>2824</v>
      </c>
      <c r="M84" s="584">
        <f t="shared" si="1"/>
        <v>7.945909598613133</v>
      </c>
      <c r="N84" s="14">
        <v>7.5</v>
      </c>
      <c r="O84" s="54">
        <v>10</v>
      </c>
    </row>
    <row r="85" spans="3:15" ht="12.75">
      <c r="C85" s="583" t="s">
        <v>723</v>
      </c>
      <c r="D85" s="14">
        <v>29644</v>
      </c>
      <c r="E85" s="584">
        <f t="shared" si="0"/>
        <v>10.29701502307125</v>
      </c>
      <c r="F85" s="14">
        <v>4</v>
      </c>
      <c r="G85" s="14">
        <v>1.89</v>
      </c>
      <c r="H85" s="14">
        <v>45.9</v>
      </c>
      <c r="I85" s="14">
        <v>76.7</v>
      </c>
      <c r="J85" s="585" t="s">
        <v>487</v>
      </c>
      <c r="K85" s="14">
        <v>4.4</v>
      </c>
      <c r="L85" s="14">
        <v>3807</v>
      </c>
      <c r="M85" s="584">
        <f t="shared" si="1"/>
        <v>8.244596756382498</v>
      </c>
      <c r="N85" s="14">
        <v>11.1</v>
      </c>
      <c r="O85" s="54">
        <v>9</v>
      </c>
    </row>
    <row r="86" spans="3:15" ht="12.75">
      <c r="C86" s="583" t="s">
        <v>488</v>
      </c>
      <c r="D86" s="14">
        <v>30496</v>
      </c>
      <c r="E86" s="584">
        <f t="shared" si="0"/>
        <v>10.325350806453928</v>
      </c>
      <c r="F86" s="14">
        <v>4</v>
      </c>
      <c r="G86" s="14">
        <v>1.36</v>
      </c>
      <c r="H86" s="14">
        <v>45.2</v>
      </c>
      <c r="I86" s="14">
        <v>75.2</v>
      </c>
      <c r="J86" s="585" t="s">
        <v>438</v>
      </c>
      <c r="K86" s="14">
        <v>4.3</v>
      </c>
      <c r="L86" s="14">
        <v>3628</v>
      </c>
      <c r="M86" s="584">
        <f t="shared" si="1"/>
        <v>8.196436811235028</v>
      </c>
      <c r="N86" s="14">
        <v>10.7</v>
      </c>
      <c r="O86" s="54">
        <v>10</v>
      </c>
    </row>
    <row r="87" spans="3:15" ht="12.75">
      <c r="C87" s="583" t="s">
        <v>489</v>
      </c>
      <c r="D87" s="14">
        <v>1225</v>
      </c>
      <c r="E87" s="584">
        <f t="shared" si="0"/>
        <v>7.110696122978827</v>
      </c>
      <c r="F87" s="14">
        <v>75</v>
      </c>
      <c r="G87" s="14">
        <v>3.84</v>
      </c>
      <c r="H87" s="14">
        <v>48</v>
      </c>
      <c r="I87" s="14">
        <v>47.8</v>
      </c>
      <c r="J87" s="585" t="s">
        <v>490</v>
      </c>
      <c r="K87" s="14">
        <v>92.4</v>
      </c>
      <c r="L87" s="14">
        <v>30</v>
      </c>
      <c r="M87" s="584">
        <f t="shared" si="1"/>
        <v>3.4011973816621555</v>
      </c>
      <c r="N87" s="14">
        <v>6.2</v>
      </c>
      <c r="O87" s="54">
        <v>8</v>
      </c>
    </row>
    <row r="88" spans="3:15" ht="12.75">
      <c r="C88" s="583" t="s">
        <v>491</v>
      </c>
      <c r="D88" s="14">
        <v>25520</v>
      </c>
      <c r="E88" s="584">
        <f t="shared" si="0"/>
        <v>10.147217737458726</v>
      </c>
      <c r="F88" s="14">
        <v>4</v>
      </c>
      <c r="G88" s="14">
        <v>1.33</v>
      </c>
      <c r="H88" s="14">
        <v>40.9</v>
      </c>
      <c r="I88" s="14">
        <v>59</v>
      </c>
      <c r="J88" s="585" t="s">
        <v>478</v>
      </c>
      <c r="K88" s="14">
        <v>4.9</v>
      </c>
      <c r="L88" s="14">
        <v>2580</v>
      </c>
      <c r="M88" s="584">
        <f t="shared" si="1"/>
        <v>7.855544677915663</v>
      </c>
      <c r="N88" s="14">
        <v>10.1</v>
      </c>
      <c r="O88" s="54">
        <v>10</v>
      </c>
    </row>
    <row r="89" spans="3:15" ht="12.75">
      <c r="C89" s="583" t="s">
        <v>492</v>
      </c>
      <c r="D89" s="14">
        <v>1175</v>
      </c>
      <c r="E89" s="584">
        <f t="shared" si="0"/>
        <v>7.069023426578259</v>
      </c>
      <c r="F89" s="14">
        <v>63</v>
      </c>
      <c r="G89" s="14">
        <v>3.54</v>
      </c>
      <c r="H89" s="14">
        <v>41.7</v>
      </c>
      <c r="I89" s="14">
        <v>38.8</v>
      </c>
      <c r="J89" s="585" t="s">
        <v>493</v>
      </c>
      <c r="K89" s="14">
        <v>86.6</v>
      </c>
      <c r="L89" s="14">
        <v>28</v>
      </c>
      <c r="M89" s="584">
        <f t="shared" si="1"/>
        <v>3.332204510175204</v>
      </c>
      <c r="N89" s="14">
        <v>6.2</v>
      </c>
      <c r="O89" s="54" t="s">
        <v>494</v>
      </c>
    </row>
    <row r="90" spans="3:15" ht="12.75">
      <c r="C90" s="583" t="s">
        <v>495</v>
      </c>
      <c r="D90" s="14">
        <v>17014</v>
      </c>
      <c r="E90" s="584">
        <f t="shared" si="0"/>
        <v>9.74179181353583</v>
      </c>
      <c r="F90" s="14">
        <v>6</v>
      </c>
      <c r="G90" s="14">
        <v>1.28</v>
      </c>
      <c r="H90" s="14">
        <v>45.1</v>
      </c>
      <c r="I90" s="14">
        <v>66.3</v>
      </c>
      <c r="J90" s="585">
        <v>16</v>
      </c>
      <c r="K90" s="14">
        <v>7.9</v>
      </c>
      <c r="L90" s="14">
        <v>855</v>
      </c>
      <c r="M90" s="584">
        <f t="shared" si="1"/>
        <v>6.75110146893676</v>
      </c>
      <c r="N90" s="14">
        <v>7.8</v>
      </c>
      <c r="O90" s="54">
        <v>10</v>
      </c>
    </row>
    <row r="91" spans="3:15" ht="12.75">
      <c r="C91" s="583" t="s">
        <v>496</v>
      </c>
      <c r="D91" s="14">
        <v>35630</v>
      </c>
      <c r="E91" s="584">
        <f t="shared" si="0"/>
        <v>10.480943258599881</v>
      </c>
      <c r="F91" s="14">
        <v>2</v>
      </c>
      <c r="G91" s="14">
        <v>2.05</v>
      </c>
      <c r="H91" s="14">
        <v>46.6</v>
      </c>
      <c r="I91" s="14">
        <v>92.8</v>
      </c>
      <c r="J91" s="585" t="s">
        <v>497</v>
      </c>
      <c r="K91" s="14">
        <v>3.1</v>
      </c>
      <c r="L91" s="14">
        <v>5154</v>
      </c>
      <c r="M91" s="584">
        <f t="shared" si="1"/>
        <v>8.54752839121231</v>
      </c>
      <c r="N91" s="14">
        <v>9.5</v>
      </c>
      <c r="O91" s="54"/>
    </row>
    <row r="92" spans="3:15" ht="12.75">
      <c r="C92" s="583" t="s">
        <v>498</v>
      </c>
      <c r="D92" s="14">
        <v>2126</v>
      </c>
      <c r="E92" s="584">
        <f t="shared" si="0"/>
        <v>7.661997558901893</v>
      </c>
      <c r="F92" s="14">
        <v>59</v>
      </c>
      <c r="G92" s="14">
        <v>2.81</v>
      </c>
      <c r="H92" s="14">
        <v>28.4</v>
      </c>
      <c r="I92" s="14">
        <v>28.7</v>
      </c>
      <c r="J92" s="585" t="s">
        <v>490</v>
      </c>
      <c r="K92" s="14">
        <v>77.2</v>
      </c>
      <c r="L92" s="14">
        <v>36</v>
      </c>
      <c r="M92" s="584">
        <f t="shared" si="1"/>
        <v>3.58351893845611</v>
      </c>
      <c r="N92" s="14">
        <v>5</v>
      </c>
      <c r="O92" s="54">
        <v>9</v>
      </c>
    </row>
    <row r="93" spans="3:15" ht="12.75">
      <c r="C93" s="583" t="s">
        <v>499</v>
      </c>
      <c r="D93" s="14">
        <v>3234</v>
      </c>
      <c r="E93" s="584">
        <f t="shared" si="0"/>
        <v>8.081475040137052</v>
      </c>
      <c r="F93" s="14">
        <v>28</v>
      </c>
      <c r="G93" s="14">
        <v>2.18</v>
      </c>
      <c r="H93" s="14">
        <v>37.9</v>
      </c>
      <c r="I93" s="14">
        <v>48.1</v>
      </c>
      <c r="J93" s="585" t="s">
        <v>500</v>
      </c>
      <c r="K93" s="14">
        <v>42.7</v>
      </c>
      <c r="L93" s="14">
        <v>26</v>
      </c>
      <c r="M93" s="584">
        <f t="shared" si="1"/>
        <v>3.258096538021482</v>
      </c>
      <c r="N93" s="14">
        <v>2.1</v>
      </c>
      <c r="O93" s="54">
        <v>8</v>
      </c>
    </row>
    <row r="94" spans="3:15" ht="12.75">
      <c r="C94" s="583" t="s">
        <v>501</v>
      </c>
      <c r="D94" s="14">
        <v>10692</v>
      </c>
      <c r="E94" s="584">
        <f t="shared" si="0"/>
        <v>9.277251077258809</v>
      </c>
      <c r="F94" s="14">
        <v>31</v>
      </c>
      <c r="G94" s="14">
        <v>2.04</v>
      </c>
      <c r="H94" s="14">
        <v>33.8</v>
      </c>
      <c r="I94" s="14">
        <v>66.9</v>
      </c>
      <c r="J94" s="585" t="s">
        <v>502</v>
      </c>
      <c r="K94" s="14">
        <v>38.7</v>
      </c>
      <c r="L94" s="14">
        <v>212</v>
      </c>
      <c r="M94" s="584">
        <f t="shared" si="1"/>
        <v>5.356586274672012</v>
      </c>
      <c r="N94" s="14">
        <v>7.8</v>
      </c>
      <c r="O94" s="54">
        <v>-6</v>
      </c>
    </row>
    <row r="95" spans="3:15" ht="12.75">
      <c r="C95" s="583" t="s">
        <v>503</v>
      </c>
      <c r="D95" s="14">
        <v>38058</v>
      </c>
      <c r="E95" s="584">
        <f t="shared" si="0"/>
        <v>10.546866590861953</v>
      </c>
      <c r="F95" s="14">
        <v>4</v>
      </c>
      <c r="G95" s="14">
        <v>1.96</v>
      </c>
      <c r="H95" s="14">
        <v>43</v>
      </c>
      <c r="I95" s="14">
        <v>60.5</v>
      </c>
      <c r="J95" s="585" t="s">
        <v>480</v>
      </c>
      <c r="K95" s="14">
        <v>5.3</v>
      </c>
      <c r="L95" s="14">
        <v>3993</v>
      </c>
      <c r="M95" s="584">
        <f t="shared" si="1"/>
        <v>8.292298107063221</v>
      </c>
      <c r="N95" s="14">
        <v>8.2</v>
      </c>
      <c r="O95" s="54">
        <v>10</v>
      </c>
    </row>
    <row r="96" spans="3:15" ht="12.75">
      <c r="C96" s="583" t="s">
        <v>504</v>
      </c>
      <c r="D96" s="14">
        <v>23846</v>
      </c>
      <c r="E96" s="584">
        <f t="shared" si="0"/>
        <v>10.079371767366077</v>
      </c>
      <c r="F96" s="14">
        <v>4</v>
      </c>
      <c r="G96" s="14">
        <v>2.75</v>
      </c>
      <c r="H96" s="14">
        <v>47</v>
      </c>
      <c r="I96" s="14">
        <v>91.6</v>
      </c>
      <c r="J96" s="585" t="s">
        <v>487</v>
      </c>
      <c r="K96" s="14">
        <v>5.5</v>
      </c>
      <c r="L96" s="14">
        <v>1533</v>
      </c>
      <c r="M96" s="584">
        <f t="shared" si="1"/>
        <v>7.334981878871814</v>
      </c>
      <c r="N96" s="14">
        <v>7.9</v>
      </c>
      <c r="O96" s="54">
        <v>10</v>
      </c>
    </row>
    <row r="97" spans="3:15" ht="12.75">
      <c r="C97" s="583" t="s">
        <v>505</v>
      </c>
      <c r="D97" s="14">
        <v>27750</v>
      </c>
      <c r="E97" s="584">
        <f t="shared" si="0"/>
        <v>10.23099111917458</v>
      </c>
      <c r="F97" s="14">
        <v>4</v>
      </c>
      <c r="G97" s="14">
        <v>1.38</v>
      </c>
      <c r="H97" s="14">
        <v>40.1</v>
      </c>
      <c r="I97" s="14">
        <v>67.6</v>
      </c>
      <c r="J97" s="585" t="s">
        <v>480</v>
      </c>
      <c r="K97" s="14">
        <v>4.2</v>
      </c>
      <c r="L97" s="14">
        <v>2692</v>
      </c>
      <c r="M97" s="584">
        <f t="shared" si="1"/>
        <v>7.898039690764619</v>
      </c>
      <c r="N97" s="14">
        <v>8.9</v>
      </c>
      <c r="O97" s="54">
        <v>10</v>
      </c>
    </row>
    <row r="98" spans="3:15" ht="12.75">
      <c r="C98" s="583" t="s">
        <v>506</v>
      </c>
      <c r="D98" s="14">
        <v>7132</v>
      </c>
      <c r="E98" s="584">
        <f t="shared" si="0"/>
        <v>8.872346978983032</v>
      </c>
      <c r="F98" s="14">
        <v>26</v>
      </c>
      <c r="G98" s="14">
        <v>2.43</v>
      </c>
      <c r="H98" s="14">
        <v>43.6</v>
      </c>
      <c r="I98" s="14">
        <v>53.1</v>
      </c>
      <c r="J98" s="585" t="s">
        <v>507</v>
      </c>
      <c r="K98" s="14">
        <v>11.3</v>
      </c>
      <c r="L98" s="14">
        <v>170</v>
      </c>
      <c r="M98" s="584">
        <f t="shared" si="1"/>
        <v>5.135798437050262</v>
      </c>
      <c r="N98" s="14">
        <v>4.7</v>
      </c>
      <c r="O98" s="54">
        <v>9</v>
      </c>
    </row>
    <row r="99" spans="3:15" ht="12.75">
      <c r="C99" s="583" t="s">
        <v>508</v>
      </c>
      <c r="D99" s="14">
        <v>30290</v>
      </c>
      <c r="E99" s="584">
        <f t="shared" si="0"/>
        <v>10.318572904021282</v>
      </c>
      <c r="F99" s="14">
        <v>3</v>
      </c>
      <c r="G99" s="14">
        <v>1.27</v>
      </c>
      <c r="H99" s="14">
        <v>41.1</v>
      </c>
      <c r="I99" s="14">
        <v>65.8</v>
      </c>
      <c r="J99" s="585" t="s">
        <v>446</v>
      </c>
      <c r="K99" s="14">
        <v>3.5</v>
      </c>
      <c r="L99" s="14">
        <v>2936</v>
      </c>
      <c r="M99" s="584">
        <f t="shared" si="1"/>
        <v>7.984803389734406</v>
      </c>
      <c r="N99" s="14">
        <v>8.2</v>
      </c>
      <c r="O99" s="54">
        <v>10</v>
      </c>
    </row>
    <row r="100" spans="3:15" ht="12.75">
      <c r="C100" s="583" t="s">
        <v>509</v>
      </c>
      <c r="D100" s="14">
        <v>8699</v>
      </c>
      <c r="E100" s="584">
        <f t="shared" si="0"/>
        <v>9.07096335550754</v>
      </c>
      <c r="F100" s="14">
        <v>27</v>
      </c>
      <c r="G100" s="14">
        <v>2.31</v>
      </c>
      <c r="H100" s="14">
        <v>49.6</v>
      </c>
      <c r="I100" s="14">
        <v>57.3</v>
      </c>
      <c r="J100" s="585" t="s">
        <v>510</v>
      </c>
      <c r="K100" s="14">
        <v>34.5</v>
      </c>
      <c r="L100" s="14">
        <v>148</v>
      </c>
      <c r="M100" s="584">
        <f t="shared" si="1"/>
        <v>4.997212273764115</v>
      </c>
      <c r="N100" s="14">
        <v>3.9</v>
      </c>
      <c r="O100" s="54">
        <v>-6</v>
      </c>
    </row>
    <row r="101" spans="3:15" ht="12.75">
      <c r="C101" s="583" t="s">
        <v>511</v>
      </c>
      <c r="D101" s="14">
        <v>1359</v>
      </c>
      <c r="E101" s="584">
        <f t="shared" si="0"/>
        <v>7.214504414151143</v>
      </c>
      <c r="F101" s="14">
        <v>79</v>
      </c>
      <c r="G101" s="14">
        <v>4.96</v>
      </c>
      <c r="H101" s="14">
        <v>43.8</v>
      </c>
      <c r="I101" s="14">
        <v>20.7</v>
      </c>
      <c r="J101" s="585" t="s">
        <v>456</v>
      </c>
      <c r="K101" s="14">
        <v>96.1</v>
      </c>
      <c r="L101" s="14">
        <v>24</v>
      </c>
      <c r="M101" s="584">
        <f t="shared" si="1"/>
        <v>3.1780538303479458</v>
      </c>
      <c r="N101" s="14">
        <v>4.5</v>
      </c>
      <c r="O101" s="54">
        <v>8</v>
      </c>
    </row>
    <row r="102" spans="3:15" ht="12.75">
      <c r="C102" s="583" t="s">
        <v>512</v>
      </c>
      <c r="D102" s="14">
        <v>21342</v>
      </c>
      <c r="E102" s="584">
        <f t="shared" si="0"/>
        <v>9.96843224117651</v>
      </c>
      <c r="F102" s="14">
        <v>5</v>
      </c>
      <c r="G102" s="14">
        <v>1.21</v>
      </c>
      <c r="H102" s="14">
        <v>40.8</v>
      </c>
      <c r="I102" s="14">
        <v>80.8</v>
      </c>
      <c r="J102" s="585" t="s">
        <v>513</v>
      </c>
      <c r="K102" s="14">
        <v>6.8</v>
      </c>
      <c r="L102" s="14">
        <v>973</v>
      </c>
      <c r="M102" s="584">
        <f t="shared" si="1"/>
        <v>6.880384082186005</v>
      </c>
      <c r="N102" s="14">
        <v>5.9</v>
      </c>
      <c r="O102" s="54">
        <v>8</v>
      </c>
    </row>
    <row r="103" spans="3:15" ht="12.75">
      <c r="C103" s="583" t="s">
        <v>514</v>
      </c>
      <c r="D103" s="14">
        <v>44947</v>
      </c>
      <c r="E103" s="584">
        <f t="shared" si="0"/>
        <v>10.71323929684936</v>
      </c>
      <c r="F103" s="14">
        <v>10</v>
      </c>
      <c r="G103" s="14">
        <v>2.18</v>
      </c>
      <c r="H103" s="14">
        <v>25.4</v>
      </c>
      <c r="I103" s="14">
        <v>98.3</v>
      </c>
      <c r="J103" s="585" t="s">
        <v>480</v>
      </c>
      <c r="K103" s="14">
        <v>9.8</v>
      </c>
      <c r="L103" s="14">
        <v>687</v>
      </c>
      <c r="M103" s="584">
        <f t="shared" si="1"/>
        <v>6.532334292222349</v>
      </c>
      <c r="N103" s="14">
        <v>2.2</v>
      </c>
      <c r="O103" s="54">
        <v>-7</v>
      </c>
    </row>
    <row r="104" spans="3:15" ht="12.75">
      <c r="C104" s="583" t="s">
        <v>515</v>
      </c>
      <c r="D104" s="14">
        <v>10212</v>
      </c>
      <c r="E104" s="584">
        <f t="shared" si="0"/>
        <v>9.231318778361375</v>
      </c>
      <c r="F104" s="14">
        <v>27</v>
      </c>
      <c r="G104" s="14">
        <v>2.21</v>
      </c>
      <c r="H104" s="14">
        <v>30.4</v>
      </c>
      <c r="I104" s="14">
        <v>86.6</v>
      </c>
      <c r="J104" s="585" t="s">
        <v>516</v>
      </c>
      <c r="K104" s="14">
        <v>32.5</v>
      </c>
      <c r="L104" s="14">
        <v>460</v>
      </c>
      <c r="M104" s="584">
        <f t="shared" si="1"/>
        <v>6.131226489483141</v>
      </c>
      <c r="N104" s="14">
        <v>8.7</v>
      </c>
      <c r="O104" s="54">
        <v>7</v>
      </c>
    </row>
    <row r="105" spans="3:15" ht="12.75">
      <c r="C105" s="583" t="s">
        <v>517</v>
      </c>
      <c r="D105" s="14">
        <v>1415</v>
      </c>
      <c r="E105" s="584">
        <f t="shared" si="0"/>
        <v>7.254884810077338</v>
      </c>
      <c r="F105" s="14">
        <v>102</v>
      </c>
      <c r="G105" s="14">
        <v>3.37</v>
      </c>
      <c r="H105" s="14">
        <v>44.5</v>
      </c>
      <c r="I105" s="14">
        <v>18.7</v>
      </c>
      <c r="J105" s="585" t="s">
        <v>518</v>
      </c>
      <c r="K105" s="14">
        <v>79.2</v>
      </c>
      <c r="L105" s="14">
        <v>69</v>
      </c>
      <c r="M105" s="584">
        <f t="shared" si="1"/>
        <v>4.23410650459726</v>
      </c>
      <c r="N105" s="14">
        <v>9.4</v>
      </c>
      <c r="O105" s="54">
        <v>8</v>
      </c>
    </row>
    <row r="106" spans="3:15" ht="12.75">
      <c r="C106" s="583" t="s">
        <v>519</v>
      </c>
      <c r="D106" s="14">
        <v>383</v>
      </c>
      <c r="E106" s="584">
        <f t="shared" si="0"/>
        <v>5.948034989180646</v>
      </c>
      <c r="F106" s="14">
        <v>157</v>
      </c>
      <c r="G106" s="14">
        <v>6.77</v>
      </c>
      <c r="H106" s="14">
        <v>39.9</v>
      </c>
      <c r="I106" s="14">
        <v>58.1</v>
      </c>
      <c r="J106" s="585" t="s">
        <v>520</v>
      </c>
      <c r="K106" s="14">
        <v>172.7</v>
      </c>
      <c r="L106" s="14">
        <v>10</v>
      </c>
      <c r="M106" s="584">
        <f t="shared" si="1"/>
        <v>2.302585092994046</v>
      </c>
      <c r="N106" s="14">
        <v>6.4</v>
      </c>
      <c r="O106" s="54">
        <v>5</v>
      </c>
    </row>
    <row r="107" spans="3:15" ht="12.75">
      <c r="C107" s="583" t="s">
        <v>521</v>
      </c>
      <c r="D107" s="14">
        <v>10804</v>
      </c>
      <c r="E107" s="584">
        <f t="shared" si="0"/>
        <v>9.287671714912506</v>
      </c>
      <c r="F107" s="14">
        <v>18</v>
      </c>
      <c r="G107" s="14">
        <v>2.72</v>
      </c>
      <c r="H107" s="14">
        <v>27.1</v>
      </c>
      <c r="I107" s="14">
        <v>84.8</v>
      </c>
      <c r="J107" s="585" t="s">
        <v>522</v>
      </c>
      <c r="K107" s="14">
        <v>11.7</v>
      </c>
      <c r="L107" s="14">
        <v>223</v>
      </c>
      <c r="M107" s="584">
        <f t="shared" si="1"/>
        <v>5.407171771460119</v>
      </c>
      <c r="N107" s="14">
        <v>3.2</v>
      </c>
      <c r="O107" s="54">
        <v>-7</v>
      </c>
    </row>
    <row r="108" spans="3:15" ht="12.75">
      <c r="C108" s="583" t="s">
        <v>523</v>
      </c>
      <c r="D108" s="14">
        <v>7393</v>
      </c>
      <c r="E108" s="584">
        <f t="shared" si="0"/>
        <v>8.9082888855571</v>
      </c>
      <c r="F108" s="14">
        <v>15</v>
      </c>
      <c r="G108" s="14">
        <v>1.43</v>
      </c>
      <c r="H108" s="14">
        <v>39.2</v>
      </c>
      <c r="I108" s="14">
        <v>68.9</v>
      </c>
      <c r="J108" s="585" t="s">
        <v>524</v>
      </c>
      <c r="K108" s="14">
        <v>10.5</v>
      </c>
      <c r="L108" s="14">
        <v>224</v>
      </c>
      <c r="M108" s="584">
        <f t="shared" si="1"/>
        <v>5.4116460518550396</v>
      </c>
      <c r="N108" s="14">
        <v>7.8</v>
      </c>
      <c r="O108" s="54"/>
    </row>
    <row r="109" spans="3:15" ht="12.75">
      <c r="C109" s="583" t="s">
        <v>525</v>
      </c>
      <c r="D109" s="14">
        <v>988</v>
      </c>
      <c r="E109" s="584">
        <f t="shared" si="0"/>
        <v>6.895682697747868</v>
      </c>
      <c r="F109" s="14">
        <v>74</v>
      </c>
      <c r="G109" s="14">
        <v>4.78</v>
      </c>
      <c r="H109" s="14">
        <v>48.4</v>
      </c>
      <c r="I109" s="14">
        <v>26.8</v>
      </c>
      <c r="J109" s="585" t="s">
        <v>518</v>
      </c>
      <c r="K109" s="14">
        <v>95.6</v>
      </c>
      <c r="L109" s="14">
        <v>9</v>
      </c>
      <c r="M109" s="584">
        <f t="shared" si="1"/>
        <v>2.1972245773362196</v>
      </c>
      <c r="N109" s="14">
        <v>3.2</v>
      </c>
      <c r="O109" s="54">
        <v>7</v>
      </c>
    </row>
    <row r="110" spans="3:15" ht="12.75">
      <c r="C110" s="583" t="s">
        <v>526</v>
      </c>
      <c r="D110" s="14">
        <v>1691</v>
      </c>
      <c r="E110" s="584">
        <f t="shared" si="0"/>
        <v>7.43307534889858</v>
      </c>
      <c r="F110" s="14">
        <v>78</v>
      </c>
      <c r="G110" s="14">
        <v>4.37</v>
      </c>
      <c r="H110" s="14">
        <v>40.4</v>
      </c>
      <c r="I110" s="14">
        <v>40.4</v>
      </c>
      <c r="J110" s="585" t="s">
        <v>456</v>
      </c>
      <c r="K110" s="14">
        <v>98.8</v>
      </c>
      <c r="L110" s="14">
        <v>17</v>
      </c>
      <c r="M110" s="584">
        <f t="shared" si="1"/>
        <v>2.833213344056216</v>
      </c>
      <c r="N110" s="14">
        <v>2.7</v>
      </c>
      <c r="O110" s="54">
        <v>-5</v>
      </c>
    </row>
    <row r="111" spans="3:15" ht="12.75">
      <c r="C111" s="583" t="s">
        <v>527</v>
      </c>
      <c r="D111" s="14">
        <v>10155</v>
      </c>
      <c r="E111" s="584">
        <f t="shared" si="0"/>
        <v>9.225721474014485</v>
      </c>
      <c r="F111" s="14">
        <v>13</v>
      </c>
      <c r="G111" s="14">
        <v>1.86</v>
      </c>
      <c r="H111" s="14">
        <v>35.7</v>
      </c>
      <c r="I111" s="14">
        <v>42.4</v>
      </c>
      <c r="J111" s="585" t="s">
        <v>528</v>
      </c>
      <c r="K111" s="14">
        <v>13.9</v>
      </c>
      <c r="L111" s="14">
        <v>218</v>
      </c>
      <c r="M111" s="584">
        <f t="shared" si="1"/>
        <v>5.384495062789089</v>
      </c>
      <c r="N111" s="14">
        <v>4.3</v>
      </c>
      <c r="O111" s="54">
        <v>10</v>
      </c>
    </row>
    <row r="112" spans="3:15" ht="12.75">
      <c r="C112" s="583" t="s">
        <v>529</v>
      </c>
      <c r="D112" s="14">
        <v>11317</v>
      </c>
      <c r="E112" s="584">
        <f t="shared" si="0"/>
        <v>9.334061298965942</v>
      </c>
      <c r="F112" s="14">
        <v>30</v>
      </c>
      <c r="G112" s="14">
        <v>2.21</v>
      </c>
      <c r="H112" s="14">
        <v>35.2</v>
      </c>
      <c r="I112" s="14">
        <v>76</v>
      </c>
      <c r="J112" s="585" t="s">
        <v>530</v>
      </c>
      <c r="K112" s="14">
        <v>22.8</v>
      </c>
      <c r="L112" s="14">
        <v>474</v>
      </c>
      <c r="M112" s="584">
        <f t="shared" si="1"/>
        <v>6.161207321695077</v>
      </c>
      <c r="N112" s="14">
        <v>6.4</v>
      </c>
      <c r="O112" s="54">
        <v>8</v>
      </c>
    </row>
    <row r="113" spans="3:15" ht="12.75">
      <c r="C113" s="583" t="s">
        <v>531</v>
      </c>
      <c r="D113" s="14">
        <v>3547</v>
      </c>
      <c r="E113" s="584">
        <f t="shared" si="0"/>
        <v>8.173857454773621</v>
      </c>
      <c r="F113" s="14">
        <v>36</v>
      </c>
      <c r="G113" s="14">
        <v>2.38</v>
      </c>
      <c r="H113" s="14">
        <v>25.5</v>
      </c>
      <c r="I113" s="14">
        <v>58.7</v>
      </c>
      <c r="J113" s="585" t="s">
        <v>532</v>
      </c>
      <c r="K113" s="14">
        <v>41.9</v>
      </c>
      <c r="L113" s="14">
        <v>89</v>
      </c>
      <c r="M113" s="584">
        <f t="shared" si="1"/>
        <v>4.48863636973214</v>
      </c>
      <c r="N113" s="14">
        <v>5.3</v>
      </c>
      <c r="O113" s="54">
        <v>-6</v>
      </c>
    </row>
    <row r="114" spans="3:15" ht="12.75">
      <c r="C114" s="583" t="s">
        <v>533</v>
      </c>
      <c r="D114" s="14">
        <v>743</v>
      </c>
      <c r="E114" s="584">
        <f t="shared" si="0"/>
        <v>6.610696044717759</v>
      </c>
      <c r="F114" s="14">
        <v>100</v>
      </c>
      <c r="G114" s="14">
        <v>5.11</v>
      </c>
      <c r="H114" s="14">
        <v>53.5</v>
      </c>
      <c r="I114" s="14">
        <v>34.5</v>
      </c>
      <c r="J114" s="585" t="s">
        <v>456</v>
      </c>
      <c r="K114" s="14">
        <v>171.6</v>
      </c>
      <c r="L114" s="14">
        <v>14</v>
      </c>
      <c r="M114" s="584">
        <f t="shared" si="1"/>
        <v>2.6390573296152584</v>
      </c>
      <c r="N114" s="14">
        <v>4.3</v>
      </c>
      <c r="O114" s="54">
        <v>6</v>
      </c>
    </row>
    <row r="115" spans="3:15" ht="12.75">
      <c r="C115" s="583" t="s">
        <v>534</v>
      </c>
      <c r="D115" s="14">
        <v>831</v>
      </c>
      <c r="E115" s="584">
        <f t="shared" si="0"/>
        <v>6.7226297948554485</v>
      </c>
      <c r="F115" s="14">
        <v>75</v>
      </c>
      <c r="G115" s="14">
        <v>2.07</v>
      </c>
      <c r="H115" s="14">
        <v>45</v>
      </c>
      <c r="I115" s="14">
        <v>30.6</v>
      </c>
      <c r="J115" s="585" t="s">
        <v>535</v>
      </c>
      <c r="K115" s="14">
        <v>98.8</v>
      </c>
      <c r="L115" s="14">
        <v>4</v>
      </c>
      <c r="M115" s="584">
        <f t="shared" si="1"/>
        <v>1.3862943611198906</v>
      </c>
      <c r="N115" s="14">
        <v>2.2</v>
      </c>
      <c r="O115" s="54">
        <v>-8</v>
      </c>
    </row>
    <row r="116" spans="3:15" ht="12.75">
      <c r="C116" s="583" t="s">
        <v>536</v>
      </c>
      <c r="D116" s="14">
        <v>4547</v>
      </c>
      <c r="E116" s="584">
        <f t="shared" si="0"/>
        <v>8.42222295382501</v>
      </c>
      <c r="F116" s="14">
        <v>46</v>
      </c>
      <c r="G116" s="14">
        <v>3.19</v>
      </c>
      <c r="H116" s="14">
        <v>43.6</v>
      </c>
      <c r="I116" s="14">
        <v>35.1</v>
      </c>
      <c r="J116" s="585" t="s">
        <v>537</v>
      </c>
      <c r="K116" s="14">
        <v>47.4</v>
      </c>
      <c r="L116" s="14">
        <v>165</v>
      </c>
      <c r="M116" s="584">
        <f t="shared" si="1"/>
        <v>5.10594547390058</v>
      </c>
      <c r="N116" s="14">
        <v>5.3</v>
      </c>
      <c r="O116" s="54">
        <v>6</v>
      </c>
    </row>
    <row r="117" spans="3:15" ht="12.75">
      <c r="C117" s="583" t="s">
        <v>538</v>
      </c>
      <c r="D117" s="14">
        <v>34724</v>
      </c>
      <c r="E117" s="584">
        <f t="shared" si="0"/>
        <v>10.455186369511699</v>
      </c>
      <c r="F117" s="14">
        <v>4</v>
      </c>
      <c r="G117" s="14">
        <v>1.72</v>
      </c>
      <c r="H117" s="14">
        <v>44.2</v>
      </c>
      <c r="I117" s="14">
        <v>80.2</v>
      </c>
      <c r="J117" s="585" t="s">
        <v>539</v>
      </c>
      <c r="K117" s="14">
        <v>4.5</v>
      </c>
      <c r="L117" s="14">
        <v>3560</v>
      </c>
      <c r="M117" s="584">
        <f t="shared" si="1"/>
        <v>8.177515823846075</v>
      </c>
      <c r="N117" s="14">
        <v>9.2</v>
      </c>
      <c r="O117" s="54">
        <v>10</v>
      </c>
    </row>
    <row r="118" spans="3:15" ht="12.75">
      <c r="C118" s="583" t="s">
        <v>540</v>
      </c>
      <c r="D118" s="14">
        <v>24554</v>
      </c>
      <c r="E118" s="584">
        <f aca="true" t="shared" si="2" ref="E118:E153">LN(D118)</f>
        <v>10.108630052740786</v>
      </c>
      <c r="F118" s="14">
        <v>5</v>
      </c>
      <c r="G118" s="14">
        <v>1.99</v>
      </c>
      <c r="H118" s="14">
        <v>46.6</v>
      </c>
      <c r="I118" s="14">
        <v>86.2</v>
      </c>
      <c r="J118" s="585" t="s">
        <v>541</v>
      </c>
      <c r="K118" s="14">
        <v>6.1</v>
      </c>
      <c r="L118" s="14">
        <v>2403</v>
      </c>
      <c r="M118" s="584">
        <f aca="true" t="shared" si="3" ref="M118:M153">LN(L118)</f>
        <v>7.784473235736469</v>
      </c>
      <c r="N118" s="14">
        <v>8.9</v>
      </c>
      <c r="O118" s="54">
        <v>10</v>
      </c>
    </row>
    <row r="119" spans="3:15" ht="12.75">
      <c r="C119" s="583" t="s">
        <v>542</v>
      </c>
      <c r="D119" s="14">
        <v>2611</v>
      </c>
      <c r="E119" s="584">
        <f t="shared" si="2"/>
        <v>7.8674885686991285</v>
      </c>
      <c r="F119" s="14">
        <v>30</v>
      </c>
      <c r="G119" s="14">
        <v>2.76</v>
      </c>
      <c r="H119" s="14">
        <v>29.8</v>
      </c>
      <c r="I119" s="14">
        <v>59</v>
      </c>
      <c r="J119" s="585" t="s">
        <v>500</v>
      </c>
      <c r="K119" s="14">
        <v>29.7</v>
      </c>
      <c r="L119" s="14">
        <v>75</v>
      </c>
      <c r="M119" s="584">
        <f t="shared" si="3"/>
        <v>4.31748811353631</v>
      </c>
      <c r="N119" s="14">
        <v>8.3</v>
      </c>
      <c r="O119" s="54">
        <v>8</v>
      </c>
    </row>
    <row r="120" spans="3:15" ht="12.75">
      <c r="C120" s="583" t="s">
        <v>543</v>
      </c>
      <c r="D120" s="14">
        <v>613</v>
      </c>
      <c r="E120" s="584">
        <f t="shared" si="2"/>
        <v>6.418364935936212</v>
      </c>
      <c r="F120" s="14">
        <v>150</v>
      </c>
      <c r="G120" s="14">
        <v>7.19</v>
      </c>
      <c r="H120" s="14">
        <v>42</v>
      </c>
      <c r="I120" s="14">
        <v>16.8</v>
      </c>
      <c r="J120" s="585" t="s">
        <v>544</v>
      </c>
      <c r="K120" s="14">
        <v>209.4</v>
      </c>
      <c r="L120" s="14">
        <v>9</v>
      </c>
      <c r="M120" s="584">
        <f t="shared" si="3"/>
        <v>2.1972245773362196</v>
      </c>
      <c r="N120" s="14">
        <v>3.8</v>
      </c>
      <c r="O120" s="54">
        <v>6</v>
      </c>
    </row>
    <row r="121" spans="3:15" ht="12.75">
      <c r="C121" s="583" t="s">
        <v>193</v>
      </c>
      <c r="D121" s="14">
        <v>1892</v>
      </c>
      <c r="E121" s="584">
        <f t="shared" si="2"/>
        <v>7.545389749611823</v>
      </c>
      <c r="F121" s="14">
        <v>100</v>
      </c>
      <c r="G121" s="14">
        <v>5.32</v>
      </c>
      <c r="H121" s="14">
        <v>34.7</v>
      </c>
      <c r="I121" s="14">
        <v>48.2</v>
      </c>
      <c r="J121" s="585" t="s">
        <v>545</v>
      </c>
      <c r="K121" s="14">
        <v>192.8</v>
      </c>
      <c r="L121" s="14">
        <v>27</v>
      </c>
      <c r="M121" s="584">
        <f t="shared" si="3"/>
        <v>3.295836866004329</v>
      </c>
      <c r="N121" s="14">
        <v>3.9</v>
      </c>
      <c r="O121" s="54">
        <v>4</v>
      </c>
    </row>
    <row r="122" spans="3:15" ht="12.75">
      <c r="C122" s="583" t="s">
        <v>546</v>
      </c>
      <c r="D122" s="14">
        <v>47551</v>
      </c>
      <c r="E122" s="584">
        <f t="shared" si="2"/>
        <v>10.769558098246614</v>
      </c>
      <c r="F122" s="14">
        <v>3</v>
      </c>
      <c r="G122" s="14">
        <v>1.85</v>
      </c>
      <c r="H122" s="14">
        <v>47.3</v>
      </c>
      <c r="I122" s="14">
        <v>77.4</v>
      </c>
      <c r="J122" s="585" t="s">
        <v>539</v>
      </c>
      <c r="K122" s="14">
        <v>4.1</v>
      </c>
      <c r="L122" s="14">
        <v>5910</v>
      </c>
      <c r="M122" s="584">
        <f t="shared" si="3"/>
        <v>8.684401110400144</v>
      </c>
      <c r="N122" s="14">
        <v>9</v>
      </c>
      <c r="O122" s="54">
        <v>10</v>
      </c>
    </row>
    <row r="123" spans="3:15" ht="12.75">
      <c r="C123" s="583" t="s">
        <v>547</v>
      </c>
      <c r="D123" s="14">
        <v>2396</v>
      </c>
      <c r="E123" s="584">
        <f t="shared" si="2"/>
        <v>7.78155595923534</v>
      </c>
      <c r="F123" s="14">
        <v>79</v>
      </c>
      <c r="G123" s="14">
        <v>3.52</v>
      </c>
      <c r="H123" s="14">
        <v>27</v>
      </c>
      <c r="I123" s="14">
        <v>34.9</v>
      </c>
      <c r="J123" s="585" t="s">
        <v>548</v>
      </c>
      <c r="K123" s="14">
        <v>111.2</v>
      </c>
      <c r="L123" s="14">
        <v>15</v>
      </c>
      <c r="M123" s="584">
        <f t="shared" si="3"/>
        <v>2.70805020110221</v>
      </c>
      <c r="N123" s="14">
        <v>2.1</v>
      </c>
      <c r="O123" s="54">
        <v>-5</v>
      </c>
    </row>
    <row r="124" spans="3:15" ht="12.75">
      <c r="C124" s="583" t="s">
        <v>549</v>
      </c>
      <c r="D124" s="14">
        <v>8399</v>
      </c>
      <c r="E124" s="584">
        <f t="shared" si="2"/>
        <v>9.035867930125628</v>
      </c>
      <c r="F124" s="14">
        <v>19</v>
      </c>
      <c r="G124" s="14">
        <v>2.56</v>
      </c>
      <c r="H124" s="14">
        <v>38.8</v>
      </c>
      <c r="I124" s="14">
        <v>70.8</v>
      </c>
      <c r="J124" s="585" t="s">
        <v>550</v>
      </c>
      <c r="K124" s="14">
        <v>21.8</v>
      </c>
      <c r="L124" s="14">
        <v>351</v>
      </c>
      <c r="M124" s="584">
        <f t="shared" si="3"/>
        <v>5.860786223465865</v>
      </c>
      <c r="N124" s="14">
        <v>7.3</v>
      </c>
      <c r="O124" s="54">
        <v>9</v>
      </c>
    </row>
    <row r="125" spans="3:15" ht="12.75">
      <c r="C125" s="583" t="s">
        <v>551</v>
      </c>
      <c r="D125" s="14">
        <v>3900</v>
      </c>
      <c r="E125" s="584">
        <f t="shared" si="2"/>
        <v>8.268731832117737</v>
      </c>
      <c r="F125" s="14">
        <v>20</v>
      </c>
      <c r="G125" s="14">
        <v>3.08</v>
      </c>
      <c r="H125" s="14">
        <v>43.5</v>
      </c>
      <c r="I125" s="14">
        <v>58.5</v>
      </c>
      <c r="J125" s="585" t="s">
        <v>552</v>
      </c>
      <c r="K125" s="14">
        <v>26.4</v>
      </c>
      <c r="L125" s="14">
        <v>92</v>
      </c>
      <c r="M125" s="584">
        <f t="shared" si="3"/>
        <v>4.5217885770490405</v>
      </c>
      <c r="N125" s="14">
        <v>7.3</v>
      </c>
      <c r="O125" s="54">
        <v>8</v>
      </c>
    </row>
    <row r="126" spans="3:15" ht="12.75">
      <c r="C126" s="583" t="s">
        <v>553</v>
      </c>
      <c r="D126" s="14">
        <v>6466</v>
      </c>
      <c r="E126" s="584">
        <f t="shared" si="2"/>
        <v>8.774312958285378</v>
      </c>
      <c r="F126" s="14">
        <v>23</v>
      </c>
      <c r="G126" s="14">
        <v>2.51</v>
      </c>
      <c r="H126" s="14">
        <v>42</v>
      </c>
      <c r="I126" s="14">
        <v>72.6</v>
      </c>
      <c r="J126" s="585" t="s">
        <v>554</v>
      </c>
      <c r="K126" s="14">
        <v>31.2</v>
      </c>
      <c r="L126" s="14">
        <v>125</v>
      </c>
      <c r="M126" s="584">
        <f t="shared" si="3"/>
        <v>4.8283137373023015</v>
      </c>
      <c r="N126" s="14">
        <v>4.3</v>
      </c>
      <c r="O126" s="54">
        <v>9</v>
      </c>
    </row>
    <row r="127" spans="3:15" ht="12.75">
      <c r="C127" s="583" t="s">
        <v>555</v>
      </c>
      <c r="D127" s="14">
        <v>13573</v>
      </c>
      <c r="E127" s="584">
        <f t="shared" si="2"/>
        <v>9.515837804297965</v>
      </c>
      <c r="F127" s="14">
        <v>6</v>
      </c>
      <c r="G127" s="14">
        <v>1.23</v>
      </c>
      <c r="H127" s="14">
        <v>45.7</v>
      </c>
      <c r="I127" s="14">
        <v>62.1</v>
      </c>
      <c r="J127" s="585" t="s">
        <v>556</v>
      </c>
      <c r="K127" s="14">
        <v>8.1</v>
      </c>
      <c r="L127" s="14">
        <v>495</v>
      </c>
      <c r="M127" s="584">
        <f t="shared" si="3"/>
        <v>6.20455776256869</v>
      </c>
      <c r="N127" s="14">
        <v>6.2</v>
      </c>
      <c r="O127" s="54">
        <v>10</v>
      </c>
    </row>
    <row r="128" spans="3:15" ht="12.75">
      <c r="C128" s="583" t="s">
        <v>185</v>
      </c>
      <c r="D128" s="14">
        <v>20006</v>
      </c>
      <c r="E128" s="584">
        <f t="shared" si="2"/>
        <v>9.903787507545125</v>
      </c>
      <c r="F128" s="14">
        <v>4</v>
      </c>
      <c r="G128" s="14">
        <v>1.46</v>
      </c>
      <c r="H128" s="14">
        <v>46.5</v>
      </c>
      <c r="I128" s="14">
        <v>57.6</v>
      </c>
      <c r="J128" s="585" t="s">
        <v>480</v>
      </c>
      <c r="K128" s="14">
        <v>5</v>
      </c>
      <c r="L128" s="14">
        <v>1800</v>
      </c>
      <c r="M128" s="584">
        <f t="shared" si="3"/>
        <v>7.495541943884256</v>
      </c>
      <c r="N128" s="14">
        <v>10.2</v>
      </c>
      <c r="O128" s="54">
        <v>10</v>
      </c>
    </row>
    <row r="129" spans="3:15" ht="12.75">
      <c r="C129" s="583" t="s">
        <v>557</v>
      </c>
      <c r="D129" s="14">
        <v>9374</v>
      </c>
      <c r="E129" s="584">
        <f t="shared" si="2"/>
        <v>9.14569517848265</v>
      </c>
      <c r="F129" s="14">
        <v>16</v>
      </c>
      <c r="G129" s="14">
        <v>1.3</v>
      </c>
      <c r="H129" s="14">
        <v>46.2</v>
      </c>
      <c r="I129" s="14">
        <v>53.7</v>
      </c>
      <c r="J129" s="585" t="s">
        <v>558</v>
      </c>
      <c r="K129" s="14">
        <v>26.5</v>
      </c>
      <c r="L129" s="14">
        <v>250</v>
      </c>
      <c r="M129" s="584">
        <f t="shared" si="3"/>
        <v>5.521460917862246</v>
      </c>
      <c r="N129" s="14">
        <v>5.5</v>
      </c>
      <c r="O129" s="54">
        <v>9</v>
      </c>
    </row>
    <row r="130" spans="3:15" ht="12.75">
      <c r="C130" s="583" t="s">
        <v>559</v>
      </c>
      <c r="D130" s="14">
        <v>11861</v>
      </c>
      <c r="E130" s="584">
        <f t="shared" si="2"/>
        <v>9.381010986029276</v>
      </c>
      <c r="F130" s="14">
        <v>15</v>
      </c>
      <c r="G130" s="14">
        <v>1.34</v>
      </c>
      <c r="H130" s="14">
        <v>49</v>
      </c>
      <c r="I130" s="14">
        <v>73</v>
      </c>
      <c r="J130" s="585" t="s">
        <v>560</v>
      </c>
      <c r="K130" s="14">
        <v>20.5</v>
      </c>
      <c r="L130" s="14">
        <v>277</v>
      </c>
      <c r="M130" s="584">
        <f t="shared" si="3"/>
        <v>5.6240175061873385</v>
      </c>
      <c r="N130" s="14">
        <v>5.2</v>
      </c>
      <c r="O130" s="54">
        <v>7</v>
      </c>
    </row>
    <row r="131" spans="3:15" ht="12.75">
      <c r="C131" s="583" t="s">
        <v>561</v>
      </c>
      <c r="D131" s="14">
        <v>21220</v>
      </c>
      <c r="E131" s="584">
        <f t="shared" si="2"/>
        <v>9.962699412167973</v>
      </c>
      <c r="F131" s="14">
        <v>21</v>
      </c>
      <c r="G131" s="14">
        <v>3.35</v>
      </c>
      <c r="H131" s="14">
        <v>15.2</v>
      </c>
      <c r="I131" s="14">
        <v>81</v>
      </c>
      <c r="J131" s="585" t="s">
        <v>524</v>
      </c>
      <c r="K131" s="14">
        <v>9.4</v>
      </c>
      <c r="L131" s="14">
        <v>448</v>
      </c>
      <c r="M131" s="584">
        <f t="shared" si="3"/>
        <v>6.104793232414985</v>
      </c>
      <c r="N131" s="14">
        <v>3.4</v>
      </c>
      <c r="O131" s="54">
        <v>-10</v>
      </c>
    </row>
    <row r="132" spans="3:15" ht="12.75">
      <c r="C132" s="583" t="s">
        <v>562</v>
      </c>
      <c r="D132" s="14">
        <v>1676</v>
      </c>
      <c r="E132" s="584">
        <f t="shared" si="2"/>
        <v>7.424165281042028</v>
      </c>
      <c r="F132" s="14">
        <v>61</v>
      </c>
      <c r="G132" s="14">
        <v>4.69</v>
      </c>
      <c r="H132" s="14">
        <v>42.5</v>
      </c>
      <c r="I132" s="14">
        <v>41.6</v>
      </c>
      <c r="J132" s="585" t="s">
        <v>473</v>
      </c>
      <c r="K132" s="14">
        <v>104.2</v>
      </c>
      <c r="L132" s="14">
        <v>38</v>
      </c>
      <c r="M132" s="584">
        <f t="shared" si="3"/>
        <v>3.6375861597263857</v>
      </c>
      <c r="N132" s="14">
        <v>5.4</v>
      </c>
      <c r="O132" s="54">
        <v>8</v>
      </c>
    </row>
    <row r="133" spans="3:15" ht="12.75">
      <c r="C133" s="583" t="s">
        <v>563</v>
      </c>
      <c r="D133" s="14">
        <v>790</v>
      </c>
      <c r="E133" s="584">
        <f t="shared" si="2"/>
        <v>6.672032945461067</v>
      </c>
      <c r="F133" s="14">
        <v>160</v>
      </c>
      <c r="G133" s="14">
        <v>6.47</v>
      </c>
      <c r="H133" s="14">
        <v>38.5</v>
      </c>
      <c r="I133" s="14">
        <v>40.7</v>
      </c>
      <c r="J133" s="585" t="s">
        <v>564</v>
      </c>
      <c r="K133" s="14">
        <v>253.7</v>
      </c>
      <c r="L133" s="14">
        <v>8</v>
      </c>
      <c r="M133" s="584">
        <f t="shared" si="3"/>
        <v>2.0794415416798357</v>
      </c>
      <c r="N133" s="14">
        <v>3.7</v>
      </c>
      <c r="O133" s="54">
        <v>5</v>
      </c>
    </row>
    <row r="134" spans="3:15" ht="12.75">
      <c r="C134" s="583" t="s">
        <v>565</v>
      </c>
      <c r="D134" s="14">
        <v>41479</v>
      </c>
      <c r="E134" s="584">
        <f t="shared" si="2"/>
        <v>10.632942554049004</v>
      </c>
      <c r="F134" s="14">
        <v>2</v>
      </c>
      <c r="G134" s="14">
        <v>1.26</v>
      </c>
      <c r="H134" s="14">
        <v>39.9</v>
      </c>
      <c r="I134" s="14">
        <v>100</v>
      </c>
      <c r="J134" s="585" t="s">
        <v>566</v>
      </c>
      <c r="K134" s="14">
        <v>3</v>
      </c>
      <c r="L134" s="14">
        <v>944</v>
      </c>
      <c r="M134" s="584">
        <f t="shared" si="3"/>
        <v>6.8501261661455</v>
      </c>
      <c r="N134" s="14">
        <v>3.5</v>
      </c>
      <c r="O134" s="54">
        <v>-2</v>
      </c>
    </row>
    <row r="135" spans="3:15" ht="12.75">
      <c r="C135" s="583" t="s">
        <v>567</v>
      </c>
      <c r="D135" s="14">
        <v>15881</v>
      </c>
      <c r="E135" s="584">
        <f t="shared" si="2"/>
        <v>9.672878705110646</v>
      </c>
      <c r="F135" s="14">
        <v>7</v>
      </c>
      <c r="G135" s="14">
        <v>1.25</v>
      </c>
      <c r="H135" s="14">
        <v>45.1</v>
      </c>
      <c r="I135" s="14">
        <v>56.2</v>
      </c>
      <c r="J135" s="585" t="s">
        <v>568</v>
      </c>
      <c r="K135" s="14">
        <v>8</v>
      </c>
      <c r="L135" s="14">
        <v>626</v>
      </c>
      <c r="M135" s="584">
        <f t="shared" si="3"/>
        <v>6.439350371100098</v>
      </c>
      <c r="N135" s="14">
        <v>7</v>
      </c>
      <c r="O135" s="54">
        <v>9</v>
      </c>
    </row>
    <row r="136" spans="3:15" ht="12.75">
      <c r="C136" s="583" t="s">
        <v>569</v>
      </c>
      <c r="D136" s="14">
        <v>8477</v>
      </c>
      <c r="E136" s="584">
        <f t="shared" si="2"/>
        <v>9.045111892608405</v>
      </c>
      <c r="F136" s="14">
        <v>55</v>
      </c>
      <c r="G136" s="14">
        <v>2.64</v>
      </c>
      <c r="H136" s="14">
        <v>38.2</v>
      </c>
      <c r="I136" s="14">
        <v>59.3</v>
      </c>
      <c r="J136" s="585" t="s">
        <v>500</v>
      </c>
      <c r="K136" s="14">
        <v>68.5</v>
      </c>
      <c r="L136" s="14">
        <v>437</v>
      </c>
      <c r="M136" s="584">
        <f t="shared" si="3"/>
        <v>6.07993319509559</v>
      </c>
      <c r="N136" s="14">
        <v>8.7</v>
      </c>
      <c r="O136" s="54">
        <v>9</v>
      </c>
    </row>
    <row r="137" spans="3:15" ht="12.75">
      <c r="C137" s="583" t="s">
        <v>570</v>
      </c>
      <c r="D137" s="14">
        <v>27270</v>
      </c>
      <c r="E137" s="584">
        <f t="shared" si="2"/>
        <v>10.213542475839635</v>
      </c>
      <c r="F137" s="14">
        <v>4</v>
      </c>
      <c r="G137" s="14">
        <v>1.41</v>
      </c>
      <c r="H137" s="14">
        <v>41</v>
      </c>
      <c r="I137" s="14">
        <v>76.7</v>
      </c>
      <c r="J137" s="585" t="s">
        <v>440</v>
      </c>
      <c r="K137" s="14">
        <v>4.2</v>
      </c>
      <c r="L137" s="14">
        <v>2152</v>
      </c>
      <c r="M137" s="584">
        <f t="shared" si="3"/>
        <v>7.674152921281675</v>
      </c>
      <c r="N137" s="14">
        <v>8.2</v>
      </c>
      <c r="O137" s="54">
        <v>10</v>
      </c>
    </row>
    <row r="138" spans="3:15" ht="12.75">
      <c r="C138" s="583" t="s">
        <v>571</v>
      </c>
      <c r="D138" s="14">
        <v>3481</v>
      </c>
      <c r="E138" s="584">
        <f t="shared" si="2"/>
        <v>8.15507488781144</v>
      </c>
      <c r="F138" s="14">
        <v>12</v>
      </c>
      <c r="G138" s="14">
        <v>1.88</v>
      </c>
      <c r="H138" s="14">
        <v>30.4</v>
      </c>
      <c r="I138" s="14">
        <v>15.1</v>
      </c>
      <c r="J138" s="585" t="s">
        <v>572</v>
      </c>
      <c r="K138" s="14">
        <v>12.1</v>
      </c>
      <c r="L138" s="14">
        <v>51</v>
      </c>
      <c r="M138" s="584">
        <f t="shared" si="3"/>
        <v>3.9318256327243257</v>
      </c>
      <c r="N138" s="14">
        <v>4.1</v>
      </c>
      <c r="O138" s="54">
        <v>5</v>
      </c>
    </row>
    <row r="139" spans="3:15" ht="12.75">
      <c r="C139" s="583" t="s">
        <v>573</v>
      </c>
      <c r="D139" s="14">
        <v>2249</v>
      </c>
      <c r="E139" s="584">
        <f t="shared" si="2"/>
        <v>7.718240951959316</v>
      </c>
      <c r="F139" s="14">
        <v>62</v>
      </c>
      <c r="G139" s="14">
        <v>4.23</v>
      </c>
      <c r="H139" s="14">
        <v>24.8</v>
      </c>
      <c r="I139" s="14">
        <v>40.8</v>
      </c>
      <c r="J139" s="585" t="s">
        <v>574</v>
      </c>
      <c r="K139" s="14">
        <v>94.4</v>
      </c>
      <c r="L139" s="14">
        <v>29</v>
      </c>
      <c r="M139" s="584">
        <f t="shared" si="3"/>
        <v>3.367295829986474</v>
      </c>
      <c r="N139" s="14">
        <v>3.8</v>
      </c>
      <c r="O139" s="54">
        <v>-4</v>
      </c>
    </row>
    <row r="140" spans="3:15" ht="12.75">
      <c r="C140" s="583" t="s">
        <v>575</v>
      </c>
      <c r="D140" s="14">
        <v>31995</v>
      </c>
      <c r="E140" s="584">
        <f t="shared" si="2"/>
        <v>10.37333491957356</v>
      </c>
      <c r="F140" s="14">
        <v>3</v>
      </c>
      <c r="G140" s="14">
        <v>1.8</v>
      </c>
      <c r="H140" s="14">
        <v>47.4</v>
      </c>
      <c r="I140" s="14">
        <v>84.2</v>
      </c>
      <c r="J140" s="585" t="s">
        <v>576</v>
      </c>
      <c r="K140" s="14">
        <v>3.5</v>
      </c>
      <c r="L140" s="14">
        <v>3598</v>
      </c>
      <c r="M140" s="584">
        <f t="shared" si="3"/>
        <v>8.188133414510478</v>
      </c>
      <c r="N140" s="14">
        <v>8.9</v>
      </c>
      <c r="O140" s="54">
        <v>10</v>
      </c>
    </row>
    <row r="141" spans="3:15" ht="12.75">
      <c r="C141" s="583" t="s">
        <v>577</v>
      </c>
      <c r="D141" s="14">
        <v>35520</v>
      </c>
      <c r="E141" s="584">
        <f t="shared" si="2"/>
        <v>10.477851197106107</v>
      </c>
      <c r="F141" s="14">
        <v>4</v>
      </c>
      <c r="G141" s="14">
        <v>1.42</v>
      </c>
      <c r="H141" s="14">
        <v>46.6</v>
      </c>
      <c r="I141" s="14">
        <v>75.2</v>
      </c>
      <c r="J141" s="585" t="s">
        <v>541</v>
      </c>
      <c r="K141" s="14">
        <v>4.7</v>
      </c>
      <c r="L141" s="14">
        <v>5694</v>
      </c>
      <c r="M141" s="584">
        <f t="shared" si="3"/>
        <v>8.647168267837984</v>
      </c>
      <c r="N141" s="14">
        <v>11.4</v>
      </c>
      <c r="O141" s="54">
        <v>10</v>
      </c>
    </row>
    <row r="142" spans="3:15" ht="12.75">
      <c r="C142" s="583" t="s">
        <v>578</v>
      </c>
      <c r="D142" s="14">
        <v>4059</v>
      </c>
      <c r="E142" s="584">
        <f t="shared" si="2"/>
        <v>8.308691916838898</v>
      </c>
      <c r="F142" s="14">
        <v>13</v>
      </c>
      <c r="G142" s="14">
        <v>3.08</v>
      </c>
      <c r="H142" s="14">
        <v>30.6</v>
      </c>
      <c r="I142" s="14">
        <v>50.6</v>
      </c>
      <c r="J142" s="585" t="s">
        <v>550</v>
      </c>
      <c r="K142" s="14">
        <v>23.6</v>
      </c>
      <c r="L142" s="14">
        <v>61</v>
      </c>
      <c r="M142" s="584">
        <f t="shared" si="3"/>
        <v>4.110873864173311</v>
      </c>
      <c r="N142" s="14">
        <v>4.2</v>
      </c>
      <c r="O142" s="54">
        <v>-7</v>
      </c>
    </row>
    <row r="143" spans="3:15" ht="12.75">
      <c r="C143" s="583" t="s">
        <v>579</v>
      </c>
      <c r="D143" s="14">
        <v>1018</v>
      </c>
      <c r="E143" s="584">
        <f t="shared" si="2"/>
        <v>6.925595197110468</v>
      </c>
      <c r="F143" s="14">
        <v>76</v>
      </c>
      <c r="G143" s="14">
        <v>5.16</v>
      </c>
      <c r="H143" s="14">
        <v>49.4</v>
      </c>
      <c r="I143" s="14">
        <v>24.2</v>
      </c>
      <c r="J143" s="585" t="s">
        <v>580</v>
      </c>
      <c r="K143" s="14">
        <v>121.3</v>
      </c>
      <c r="L143" s="14">
        <v>17</v>
      </c>
      <c r="M143" s="584">
        <f t="shared" si="3"/>
        <v>2.833213344056216</v>
      </c>
      <c r="N143" s="14">
        <v>5.1</v>
      </c>
      <c r="O143" s="54">
        <v>1</v>
      </c>
    </row>
    <row r="144" spans="3:15" ht="12.75">
      <c r="C144" s="583" t="s">
        <v>581</v>
      </c>
      <c r="D144" s="14">
        <v>6869</v>
      </c>
      <c r="E144" s="584">
        <f t="shared" si="2"/>
        <v>8.834773814213882</v>
      </c>
      <c r="F144" s="14">
        <v>8</v>
      </c>
      <c r="G144" s="14">
        <v>1.85</v>
      </c>
      <c r="H144" s="14">
        <v>46.2</v>
      </c>
      <c r="I144" s="14">
        <v>32.3</v>
      </c>
      <c r="J144" s="585" t="s">
        <v>582</v>
      </c>
      <c r="K144" s="14">
        <v>13.7</v>
      </c>
      <c r="L144" s="14">
        <v>98</v>
      </c>
      <c r="M144" s="584">
        <f t="shared" si="3"/>
        <v>4.584967478670572</v>
      </c>
      <c r="N144" s="14">
        <v>3.5</v>
      </c>
      <c r="O144" s="54">
        <v>9</v>
      </c>
    </row>
    <row r="145" spans="3:15" ht="12.75">
      <c r="C145" s="583" t="s">
        <v>583</v>
      </c>
      <c r="D145" s="14">
        <v>6461</v>
      </c>
      <c r="E145" s="584">
        <f t="shared" si="2"/>
        <v>8.773539383558166</v>
      </c>
      <c r="F145" s="14">
        <v>20</v>
      </c>
      <c r="G145" s="14">
        <v>1.93</v>
      </c>
      <c r="H145" s="14">
        <v>27.6</v>
      </c>
      <c r="I145" s="14">
        <v>65.3</v>
      </c>
      <c r="J145" s="585" t="s">
        <v>584</v>
      </c>
      <c r="K145" s="14">
        <v>23</v>
      </c>
      <c r="L145" s="14">
        <v>158</v>
      </c>
      <c r="M145" s="584">
        <f t="shared" si="3"/>
        <v>5.062595033026967</v>
      </c>
      <c r="N145" s="14">
        <v>5.5</v>
      </c>
      <c r="O145" s="54">
        <v>-4</v>
      </c>
    </row>
    <row r="146" spans="3:15" ht="12.75">
      <c r="C146" s="583" t="s">
        <v>585</v>
      </c>
      <c r="D146" s="14">
        <v>7786</v>
      </c>
      <c r="E146" s="584">
        <f t="shared" si="2"/>
        <v>8.960082528170402</v>
      </c>
      <c r="F146" s="14">
        <v>26</v>
      </c>
      <c r="G146" s="14">
        <v>2.14</v>
      </c>
      <c r="H146" s="14">
        <v>26.4</v>
      </c>
      <c r="I146" s="14">
        <v>67.3</v>
      </c>
      <c r="J146" s="585" t="s">
        <v>586</v>
      </c>
      <c r="K146" s="14">
        <v>34.1</v>
      </c>
      <c r="L146" s="14">
        <v>383</v>
      </c>
      <c r="M146" s="584">
        <f t="shared" si="3"/>
        <v>5.948034989180646</v>
      </c>
      <c r="N146" s="14">
        <v>7.6</v>
      </c>
      <c r="O146" s="54">
        <v>7</v>
      </c>
    </row>
    <row r="147" spans="3:15" ht="12.75">
      <c r="C147" s="583" t="s">
        <v>587</v>
      </c>
      <c r="D147" s="14">
        <v>31580</v>
      </c>
      <c r="E147" s="584">
        <f t="shared" si="2"/>
        <v>10.360279287809632</v>
      </c>
      <c r="F147" s="14">
        <v>5</v>
      </c>
      <c r="G147" s="14">
        <v>1.82</v>
      </c>
      <c r="H147" s="14">
        <v>46</v>
      </c>
      <c r="I147" s="14">
        <v>89.7</v>
      </c>
      <c r="J147" s="585" t="s">
        <v>556</v>
      </c>
      <c r="K147" s="14">
        <v>5.4</v>
      </c>
      <c r="L147" s="14">
        <v>3064</v>
      </c>
      <c r="M147" s="584">
        <f t="shared" si="3"/>
        <v>8.027476530860483</v>
      </c>
      <c r="N147" s="14">
        <v>8.2</v>
      </c>
      <c r="O147" s="54">
        <v>10</v>
      </c>
    </row>
    <row r="148" spans="3:15" ht="12.75">
      <c r="C148" s="583" t="s">
        <v>588</v>
      </c>
      <c r="D148" s="14">
        <v>41674</v>
      </c>
      <c r="E148" s="584">
        <f t="shared" si="2"/>
        <v>10.637632712130145</v>
      </c>
      <c r="F148" s="14">
        <v>7</v>
      </c>
      <c r="G148" s="14">
        <v>2.05</v>
      </c>
      <c r="H148" s="14">
        <v>46.2</v>
      </c>
      <c r="I148" s="14">
        <v>80.8</v>
      </c>
      <c r="J148" s="585" t="s">
        <v>487</v>
      </c>
      <c r="K148" s="14">
        <v>7.1</v>
      </c>
      <c r="L148" s="14">
        <v>6657</v>
      </c>
      <c r="M148" s="584">
        <f t="shared" si="3"/>
        <v>8.803424211600703</v>
      </c>
      <c r="N148" s="14">
        <v>15.9</v>
      </c>
      <c r="O148" s="54">
        <v>10</v>
      </c>
    </row>
    <row r="149" spans="3:15" ht="12.75">
      <c r="C149" s="583" t="s">
        <v>589</v>
      </c>
      <c r="D149" s="14">
        <v>9266</v>
      </c>
      <c r="E149" s="584">
        <f t="shared" si="2"/>
        <v>9.134107065976593</v>
      </c>
      <c r="F149" s="14">
        <v>12</v>
      </c>
      <c r="G149" s="14">
        <v>2.12</v>
      </c>
      <c r="H149" s="14">
        <v>44.2</v>
      </c>
      <c r="I149" s="14">
        <v>92</v>
      </c>
      <c r="J149" s="585" t="s">
        <v>590</v>
      </c>
      <c r="K149" s="14">
        <v>13.6</v>
      </c>
      <c r="L149" s="14">
        <v>404</v>
      </c>
      <c r="M149" s="584">
        <f t="shared" si="3"/>
        <v>6.0014148779611505</v>
      </c>
      <c r="N149" s="14">
        <v>8.1</v>
      </c>
      <c r="O149" s="54">
        <v>10</v>
      </c>
    </row>
    <row r="150" spans="3:15" ht="12.75">
      <c r="C150" s="583" t="s">
        <v>591</v>
      </c>
      <c r="D150" s="14">
        <v>9876</v>
      </c>
      <c r="E150" s="584">
        <f t="shared" si="2"/>
        <v>9.19786285046507</v>
      </c>
      <c r="F150" s="14">
        <v>18</v>
      </c>
      <c r="G150" s="14">
        <v>2.55</v>
      </c>
      <c r="H150" s="14">
        <v>40.9</v>
      </c>
      <c r="I150" s="14">
        <v>93.4</v>
      </c>
      <c r="J150" s="585" t="s">
        <v>592</v>
      </c>
      <c r="K150" s="14">
        <v>18.1</v>
      </c>
      <c r="L150" s="14">
        <v>247</v>
      </c>
      <c r="M150" s="584">
        <f t="shared" si="3"/>
        <v>5.5093883366279774</v>
      </c>
      <c r="N150" s="14">
        <v>4.7</v>
      </c>
      <c r="O150" s="54">
        <v>6</v>
      </c>
    </row>
    <row r="151" spans="3:15" ht="12.75">
      <c r="C151" s="583" t="s">
        <v>593</v>
      </c>
      <c r="D151" s="14">
        <v>2142</v>
      </c>
      <c r="E151" s="584">
        <f t="shared" si="2"/>
        <v>7.669495251007694</v>
      </c>
      <c r="F151" s="14">
        <v>16</v>
      </c>
      <c r="G151" s="14">
        <v>2.14</v>
      </c>
      <c r="H151" s="14">
        <v>48.5</v>
      </c>
      <c r="I151" s="14">
        <v>26.4</v>
      </c>
      <c r="J151" s="585" t="s">
        <v>469</v>
      </c>
      <c r="K151" s="14">
        <v>23.4</v>
      </c>
      <c r="L151" s="14">
        <v>37</v>
      </c>
      <c r="M151" s="584">
        <f t="shared" si="3"/>
        <v>3.6109179126442243</v>
      </c>
      <c r="N151" s="14">
        <v>6</v>
      </c>
      <c r="O151" s="54">
        <v>-7</v>
      </c>
    </row>
    <row r="152" spans="3:15" ht="12.75">
      <c r="C152" s="583" t="s">
        <v>594</v>
      </c>
      <c r="D152" s="14">
        <v>1175</v>
      </c>
      <c r="E152" s="584">
        <f t="shared" si="2"/>
        <v>7.069023426578259</v>
      </c>
      <c r="F152" s="14">
        <v>102</v>
      </c>
      <c r="G152" s="14">
        <v>5.18</v>
      </c>
      <c r="H152" s="14">
        <v>42.2</v>
      </c>
      <c r="I152" s="14">
        <v>35</v>
      </c>
      <c r="J152" s="585" t="s">
        <v>595</v>
      </c>
      <c r="K152" s="14">
        <v>163.8</v>
      </c>
      <c r="L152" s="14">
        <v>36</v>
      </c>
      <c r="M152" s="584">
        <f t="shared" si="3"/>
        <v>3.58351893845611</v>
      </c>
      <c r="N152" s="14">
        <v>5.6</v>
      </c>
      <c r="O152" s="54">
        <v>5</v>
      </c>
    </row>
    <row r="153" spans="3:15" ht="13.5" thickBot="1">
      <c r="C153" s="586" t="s">
        <v>596</v>
      </c>
      <c r="D153" s="41">
        <v>538</v>
      </c>
      <c r="E153" s="587">
        <f t="shared" si="2"/>
        <v>6.2878585601617845</v>
      </c>
      <c r="F153" s="41">
        <v>68</v>
      </c>
      <c r="G153" s="41">
        <v>3.19</v>
      </c>
      <c r="H153" s="41">
        <v>44</v>
      </c>
      <c r="I153" s="41">
        <v>35.9</v>
      </c>
      <c r="J153" s="588">
        <v>1100</v>
      </c>
      <c r="K153" s="41">
        <v>67</v>
      </c>
      <c r="L153" s="41">
        <v>21</v>
      </c>
      <c r="M153" s="587">
        <f t="shared" si="3"/>
        <v>3.044522437723423</v>
      </c>
      <c r="N153" s="41">
        <v>8.1</v>
      </c>
      <c r="O153" s="56">
        <v>-4</v>
      </c>
    </row>
    <row r="155" spans="3:6" ht="12.75">
      <c r="C155" s="589"/>
      <c r="D155" s="590"/>
      <c r="E155" s="225"/>
      <c r="F155" s="590"/>
    </row>
    <row r="156" spans="3:6" ht="12.75">
      <c r="C156" s="591" t="s">
        <v>318</v>
      </c>
      <c r="D156" s="590"/>
      <c r="E156" s="225"/>
      <c r="F156" s="590"/>
    </row>
    <row r="157" spans="3:6" ht="13.5" thickBot="1">
      <c r="C157" s="589"/>
      <c r="D157" s="590"/>
      <c r="E157" s="225"/>
      <c r="F157" s="590"/>
    </row>
    <row r="158" spans="1:9" ht="13.5" thickBot="1">
      <c r="A158" s="589"/>
      <c r="B158" s="592" t="s">
        <v>400</v>
      </c>
      <c r="C158" s="593"/>
      <c r="D158" s="594" t="s">
        <v>385</v>
      </c>
      <c r="E158" s="595" t="s">
        <v>389</v>
      </c>
      <c r="F158" s="596" t="s">
        <v>391</v>
      </c>
      <c r="G158" s="597"/>
      <c r="H158" s="598"/>
      <c r="I158" s="598"/>
    </row>
    <row r="159" spans="1:9" ht="12.75">
      <c r="A159" s="589"/>
      <c r="B159" s="592"/>
      <c r="C159" s="599" t="s">
        <v>597</v>
      </c>
      <c r="D159" s="600">
        <v>59.35544554455446</v>
      </c>
      <c r="E159" s="601">
        <v>49.71980198019803</v>
      </c>
      <c r="F159" s="602">
        <v>969.5247524752475</v>
      </c>
      <c r="G159" s="603"/>
      <c r="H159" s="499"/>
      <c r="I159" s="499"/>
    </row>
    <row r="160" spans="1:9" ht="12.75">
      <c r="A160" s="589"/>
      <c r="B160" s="592"/>
      <c r="C160" s="604" t="s">
        <v>598</v>
      </c>
      <c r="D160" s="605">
        <v>22.284468130314323</v>
      </c>
      <c r="E160" s="606">
        <v>59.01304775980801</v>
      </c>
      <c r="F160" s="607">
        <v>1551.2966061583465</v>
      </c>
      <c r="G160" s="603"/>
      <c r="H160" s="499"/>
      <c r="I160" s="499"/>
    </row>
    <row r="161" spans="1:9" ht="13.5" thickBot="1">
      <c r="A161" s="589"/>
      <c r="B161" s="592"/>
      <c r="C161" s="608" t="s">
        <v>171</v>
      </c>
      <c r="D161" s="609">
        <v>0.3754410050479151</v>
      </c>
      <c r="E161" s="610">
        <v>1.1869123650836586</v>
      </c>
      <c r="F161" s="611">
        <v>1.6000587939583852</v>
      </c>
      <c r="G161" s="603"/>
      <c r="H161" s="499"/>
      <c r="I161" s="499"/>
    </row>
    <row r="162" spans="1:9" ht="12.75">
      <c r="A162" s="589"/>
      <c r="B162" s="589"/>
      <c r="C162" s="589"/>
      <c r="D162" s="590"/>
      <c r="E162" s="225"/>
      <c r="F162" s="590"/>
      <c r="G162" s="499"/>
      <c r="H162" s="499"/>
      <c r="I162" s="603"/>
    </row>
    <row r="163" spans="1:9" ht="12.75">
      <c r="A163" s="589"/>
      <c r="B163" s="589" t="s">
        <v>403</v>
      </c>
      <c r="C163" s="589" t="s">
        <v>599</v>
      </c>
      <c r="D163" s="612">
        <v>-0.754430242801897</v>
      </c>
      <c r="E163" s="613" t="s">
        <v>600</v>
      </c>
      <c r="F163" s="590"/>
      <c r="G163" s="499"/>
      <c r="H163" s="499"/>
      <c r="I163" s="603"/>
    </row>
    <row r="164" spans="1:9" ht="13.5" thickBot="1">
      <c r="A164" s="2"/>
      <c r="C164" s="589"/>
      <c r="D164" s="590"/>
      <c r="E164" s="225"/>
      <c r="F164" s="590"/>
      <c r="I164" s="577"/>
    </row>
    <row r="165" spans="1:9" ht="13.5" thickBot="1">
      <c r="A165" s="2"/>
      <c r="B165" s="274"/>
      <c r="C165" s="593"/>
      <c r="D165" s="614" t="s">
        <v>20</v>
      </c>
      <c r="E165" s="615" t="s">
        <v>21</v>
      </c>
      <c r="F165" s="589"/>
      <c r="G165" s="1"/>
      <c r="H165" s="1"/>
      <c r="I165" s="1"/>
    </row>
    <row r="166" spans="1:6" ht="12.75">
      <c r="A166" s="2"/>
      <c r="B166" s="274"/>
      <c r="C166" s="616" t="s">
        <v>22</v>
      </c>
      <c r="D166" s="617">
        <v>171.05681014566716</v>
      </c>
      <c r="E166" s="278">
        <v>15.135640438638012</v>
      </c>
      <c r="F166" s="590"/>
    </row>
    <row r="167" spans="1:6" ht="13.5" thickBot="1">
      <c r="A167" s="2"/>
      <c r="B167" s="274"/>
      <c r="C167" s="618" t="s">
        <v>393</v>
      </c>
      <c r="D167" s="619">
        <v>-22.77433324776724</v>
      </c>
      <c r="E167" s="234">
        <v>-11.436185572816727</v>
      </c>
      <c r="F167" s="590"/>
    </row>
    <row r="168" spans="1:6" ht="12.75">
      <c r="A168" s="2"/>
      <c r="C168" s="589"/>
      <c r="D168" s="590"/>
      <c r="E168" s="225"/>
      <c r="F168" s="590"/>
    </row>
    <row r="169" spans="1:6" ht="12.75">
      <c r="A169" s="2"/>
      <c r="B169" s="2" t="s">
        <v>409</v>
      </c>
      <c r="C169" s="589" t="s">
        <v>599</v>
      </c>
      <c r="D169" s="612">
        <v>-0.599412775280294</v>
      </c>
      <c r="E169" s="613" t="s">
        <v>600</v>
      </c>
      <c r="F169" s="590"/>
    </row>
    <row r="170" spans="1:9" ht="13.5" thickBot="1">
      <c r="A170" s="2"/>
      <c r="C170" s="589"/>
      <c r="D170" s="590"/>
      <c r="E170" s="225"/>
      <c r="F170" s="590"/>
      <c r="I170" s="577"/>
    </row>
    <row r="171" spans="1:9" ht="13.5" thickBot="1">
      <c r="A171" s="2"/>
      <c r="B171" s="274"/>
      <c r="C171" s="593"/>
      <c r="D171" s="614" t="s">
        <v>20</v>
      </c>
      <c r="E171" s="615" t="s">
        <v>21</v>
      </c>
      <c r="F171" s="589"/>
      <c r="G171" s="620"/>
      <c r="H171" s="1"/>
      <c r="I171" s="1"/>
    </row>
    <row r="172" spans="1:7" ht="12.75">
      <c r="A172" s="2"/>
      <c r="B172" s="274"/>
      <c r="C172" s="616" t="s">
        <v>22</v>
      </c>
      <c r="D172" s="617">
        <v>143.9374666994277</v>
      </c>
      <c r="E172" s="278">
        <v>10.656678042455699</v>
      </c>
      <c r="F172" s="590"/>
      <c r="G172" s="577"/>
    </row>
    <row r="173" spans="1:7" ht="13.5" thickBot="1">
      <c r="A173" s="2"/>
      <c r="B173" s="274"/>
      <c r="C173" s="618" t="s">
        <v>385</v>
      </c>
      <c r="D173" s="619">
        <v>-1.5873466007176424</v>
      </c>
      <c r="E173" s="234">
        <v>-7.451003447680563</v>
      </c>
      <c r="F173" s="590"/>
      <c r="G173" s="577"/>
    </row>
    <row r="174" spans="1:9" ht="12.75">
      <c r="A174" s="2"/>
      <c r="C174" s="589"/>
      <c r="D174" s="590"/>
      <c r="E174" s="225"/>
      <c r="F174" s="590"/>
      <c r="I174" s="577"/>
    </row>
    <row r="175" spans="1:9" ht="12.75">
      <c r="A175" s="2"/>
      <c r="B175" s="2" t="s">
        <v>414</v>
      </c>
      <c r="C175" s="589" t="s">
        <v>599</v>
      </c>
      <c r="D175" s="612">
        <v>0.9312643582245009</v>
      </c>
      <c r="E175" s="613" t="s">
        <v>601</v>
      </c>
      <c r="F175" s="590"/>
      <c r="I175" s="577"/>
    </row>
    <row r="176" spans="1:9" ht="13.5" thickBot="1">
      <c r="A176" s="2"/>
      <c r="C176" s="589"/>
      <c r="D176" s="590"/>
      <c r="E176" s="225"/>
      <c r="F176" s="590"/>
      <c r="I176" s="577"/>
    </row>
    <row r="177" spans="1:9" ht="13.5" thickBot="1">
      <c r="A177" s="2"/>
      <c r="B177" s="274"/>
      <c r="C177" s="593"/>
      <c r="D177" s="614" t="s">
        <v>20</v>
      </c>
      <c r="E177" s="615" t="s">
        <v>21</v>
      </c>
      <c r="F177" s="621"/>
      <c r="G177" s="620"/>
      <c r="H177" s="1"/>
      <c r="I177" s="1"/>
    </row>
    <row r="178" spans="1:7" ht="12.75">
      <c r="A178" s="2"/>
      <c r="B178" s="274"/>
      <c r="C178" s="616" t="s">
        <v>22</v>
      </c>
      <c r="D178" s="617">
        <v>-46.029653892030105</v>
      </c>
      <c r="E178" s="278">
        <v>-2.6757061433939473</v>
      </c>
      <c r="F178" s="622"/>
      <c r="G178" s="577"/>
    </row>
    <row r="179" spans="1:7" ht="12.75">
      <c r="A179" s="2"/>
      <c r="B179" s="274"/>
      <c r="C179" s="623" t="s">
        <v>381</v>
      </c>
      <c r="D179" s="624">
        <v>34.76865489791949</v>
      </c>
      <c r="E179" s="280">
        <v>19.264212601294005</v>
      </c>
      <c r="F179" s="622" t="s">
        <v>602</v>
      </c>
      <c r="G179" s="577"/>
    </row>
    <row r="180" spans="1:7" ht="12.75">
      <c r="A180" s="2"/>
      <c r="B180" s="274"/>
      <c r="C180" s="623" t="s">
        <v>383</v>
      </c>
      <c r="D180" s="624">
        <v>0.4464270411595427</v>
      </c>
      <c r="E180" s="280">
        <v>1.4821583483861467</v>
      </c>
      <c r="F180" s="622" t="s">
        <v>603</v>
      </c>
      <c r="G180" s="577"/>
    </row>
    <row r="181" spans="1:7" ht="13.5" thickBot="1">
      <c r="A181" s="2"/>
      <c r="B181" s="274"/>
      <c r="C181" s="618" t="s">
        <v>385</v>
      </c>
      <c r="D181" s="619">
        <v>-0.30206025690252936</v>
      </c>
      <c r="E181" s="234">
        <v>-2.546002623359761</v>
      </c>
      <c r="F181" s="622" t="s">
        <v>604</v>
      </c>
      <c r="G181" s="577"/>
    </row>
    <row r="182" spans="1:9" ht="12.75">
      <c r="A182" s="2"/>
      <c r="C182" s="589"/>
      <c r="D182" s="590"/>
      <c r="E182" s="225"/>
      <c r="F182" s="622"/>
      <c r="I182" s="577"/>
    </row>
    <row r="183" spans="1:9" ht="12.75">
      <c r="A183" s="2"/>
      <c r="B183" s="2" t="s">
        <v>425</v>
      </c>
      <c r="C183" s="589" t="s">
        <v>599</v>
      </c>
      <c r="D183" s="590">
        <v>0.9294362933149456</v>
      </c>
      <c r="E183" s="613" t="s">
        <v>601</v>
      </c>
      <c r="F183" s="622"/>
      <c r="I183" s="577"/>
    </row>
    <row r="184" spans="1:9" ht="13.5" thickBot="1">
      <c r="A184" s="2"/>
      <c r="C184" s="589"/>
      <c r="D184" s="590"/>
      <c r="E184" s="225"/>
      <c r="F184" s="622"/>
      <c r="I184" s="577"/>
    </row>
    <row r="185" spans="1:9" ht="13.5" thickBot="1">
      <c r="A185" s="2"/>
      <c r="B185" s="274"/>
      <c r="C185" s="593"/>
      <c r="D185" s="614" t="s">
        <v>20</v>
      </c>
      <c r="E185" s="615" t="s">
        <v>21</v>
      </c>
      <c r="F185" s="621"/>
      <c r="G185" s="1"/>
      <c r="H185" s="620"/>
      <c r="I185" s="1"/>
    </row>
    <row r="186" spans="1:8" ht="12.75">
      <c r="A186" s="2"/>
      <c r="B186" s="274"/>
      <c r="C186" s="616" t="s">
        <v>22</v>
      </c>
      <c r="D186" s="617">
        <v>-25.765067475390655</v>
      </c>
      <c r="E186" s="278">
        <v>-2.282423979980798</v>
      </c>
      <c r="F186" s="622"/>
      <c r="H186" s="577"/>
    </row>
    <row r="187" spans="1:8" ht="12.75">
      <c r="A187" s="2"/>
      <c r="B187" s="274"/>
      <c r="C187" s="623" t="s">
        <v>381</v>
      </c>
      <c r="D187" s="624">
        <v>34.392688111125295</v>
      </c>
      <c r="E187" s="280">
        <v>18.41144401070966</v>
      </c>
      <c r="F187" s="622" t="s">
        <v>605</v>
      </c>
      <c r="H187" s="577"/>
    </row>
    <row r="188" spans="1:8" ht="12.75">
      <c r="A188" s="2"/>
      <c r="B188" s="274"/>
      <c r="C188" s="623" t="s">
        <v>385</v>
      </c>
      <c r="D188" s="624">
        <v>-0.29369421119483247</v>
      </c>
      <c r="E188" s="280">
        <v>-2.3801789854599558</v>
      </c>
      <c r="F188" s="622" t="s">
        <v>604</v>
      </c>
      <c r="H188" s="577"/>
    </row>
    <row r="189" spans="1:8" ht="13.5" thickBot="1">
      <c r="A189" s="2"/>
      <c r="B189" s="274"/>
      <c r="C189" s="618" t="s">
        <v>397</v>
      </c>
      <c r="D189" s="619">
        <v>-0.3083377154045303</v>
      </c>
      <c r="E189" s="234">
        <v>-0.7894926844764234</v>
      </c>
      <c r="F189" s="622" t="s">
        <v>603</v>
      </c>
      <c r="H189" s="577"/>
    </row>
    <row r="190" spans="1:9" ht="12.75">
      <c r="A190" s="2"/>
      <c r="C190" s="589"/>
      <c r="D190" s="590"/>
      <c r="E190" s="225"/>
      <c r="F190" s="590"/>
      <c r="I190" s="577"/>
    </row>
    <row r="191" spans="1:9" ht="12.75">
      <c r="A191" s="2"/>
      <c r="C191" s="589"/>
      <c r="D191" s="590"/>
      <c r="E191" s="225"/>
      <c r="F191" s="590"/>
      <c r="I191" s="577"/>
    </row>
    <row r="192" spans="1:9" ht="12.75">
      <c r="A192" s="2"/>
      <c r="C192" s="589"/>
      <c r="D192" s="590"/>
      <c r="E192" s="225"/>
      <c r="F192" s="590"/>
      <c r="I192" s="577"/>
    </row>
    <row r="193" spans="1:9" ht="12.75">
      <c r="A193" s="2"/>
      <c r="C193" s="589"/>
      <c r="D193" s="590"/>
      <c r="E193" s="225"/>
      <c r="F193" s="590"/>
      <c r="I193" s="577"/>
    </row>
  </sheetData>
  <printOptions/>
  <pageMargins left="0.75" right="0.75" top="1" bottom="1" header="0.4921259845" footer="0.492125984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B2:J41"/>
  <sheetViews>
    <sheetView workbookViewId="0" topLeftCell="A1">
      <selection activeCell="A1" sqref="A1"/>
    </sheetView>
  </sheetViews>
  <sheetFormatPr defaultColWidth="11.421875" defaultRowHeight="12.75"/>
  <sheetData>
    <row r="2" ht="12.75">
      <c r="B2" s="204" t="s">
        <v>318</v>
      </c>
    </row>
    <row r="4" ht="12.75">
      <c r="B4" t="s">
        <v>319</v>
      </c>
    </row>
    <row r="5" ht="13.5" thickBot="1"/>
    <row r="6" spans="2:10" ht="13.5" thickBot="1">
      <c r="B6" s="427" t="s">
        <v>653</v>
      </c>
      <c r="C6" s="29" t="s">
        <v>320</v>
      </c>
      <c r="D6" s="567" t="s">
        <v>340</v>
      </c>
      <c r="E6" s="568" t="s">
        <v>341</v>
      </c>
      <c r="G6" s="427" t="s">
        <v>653</v>
      </c>
      <c r="H6" s="29" t="s">
        <v>320</v>
      </c>
      <c r="I6" s="567" t="s">
        <v>340</v>
      </c>
      <c r="J6" s="568" t="s">
        <v>341</v>
      </c>
    </row>
    <row r="7" spans="2:10" ht="12.75">
      <c r="B7" s="545">
        <v>1</v>
      </c>
      <c r="C7" s="569">
        <f aca="true" t="shared" si="0" ref="C7:C12">1/6</f>
        <v>0.16666666666666666</v>
      </c>
      <c r="D7" s="569">
        <f aca="true" t="shared" si="1" ref="D7:D12">C7*B7</f>
        <v>0.16666666666666666</v>
      </c>
      <c r="E7" s="570">
        <f aca="true" t="shared" si="2" ref="E7:E12">C7*(B7-$D$13)^2</f>
        <v>1.0416666666666665</v>
      </c>
      <c r="G7" s="545">
        <v>1</v>
      </c>
      <c r="H7" s="569">
        <f>2/6</f>
        <v>0.3333333333333333</v>
      </c>
      <c r="I7" s="569">
        <f>H7*G7</f>
        <v>0.3333333333333333</v>
      </c>
      <c r="J7" s="570">
        <f>H7*(G7-$I$12)^2</f>
        <v>0.9259259259259253</v>
      </c>
    </row>
    <row r="8" spans="2:10" ht="12.75">
      <c r="B8" s="344">
        <v>2</v>
      </c>
      <c r="C8" s="360">
        <f t="shared" si="0"/>
        <v>0.16666666666666666</v>
      </c>
      <c r="D8" s="360">
        <f t="shared" si="1"/>
        <v>0.3333333333333333</v>
      </c>
      <c r="E8" s="361">
        <f t="shared" si="2"/>
        <v>0.375</v>
      </c>
      <c r="G8" s="344">
        <v>2</v>
      </c>
      <c r="H8" s="360">
        <f>1/6</f>
        <v>0.16666666666666666</v>
      </c>
      <c r="I8" s="360">
        <f>H8*G8</f>
        <v>0.3333333333333333</v>
      </c>
      <c r="J8" s="570">
        <f>H8*(G8-$I$12)^2</f>
        <v>0.07407407407407393</v>
      </c>
    </row>
    <row r="9" spans="2:10" ht="12.75">
      <c r="B9" s="344">
        <v>3</v>
      </c>
      <c r="C9" s="360">
        <f t="shared" si="0"/>
        <v>0.16666666666666666</v>
      </c>
      <c r="D9" s="360">
        <f t="shared" si="1"/>
        <v>0.5</v>
      </c>
      <c r="E9" s="361">
        <f t="shared" si="2"/>
        <v>0.041666666666666664</v>
      </c>
      <c r="G9" s="344">
        <v>3</v>
      </c>
      <c r="H9" s="360">
        <f>1/6</f>
        <v>0.16666666666666666</v>
      </c>
      <c r="I9" s="360">
        <f>H9*G9</f>
        <v>0.5</v>
      </c>
      <c r="J9" s="570">
        <f>H9*(G9-$I$12)^2</f>
        <v>0.018518518518518583</v>
      </c>
    </row>
    <row r="10" spans="2:10" ht="12.75">
      <c r="B10" s="344">
        <v>4</v>
      </c>
      <c r="C10" s="360">
        <f t="shared" si="0"/>
        <v>0.16666666666666666</v>
      </c>
      <c r="D10" s="360">
        <f t="shared" si="1"/>
        <v>0.6666666666666666</v>
      </c>
      <c r="E10" s="361">
        <f t="shared" si="2"/>
        <v>0.041666666666666664</v>
      </c>
      <c r="G10" s="344">
        <v>4</v>
      </c>
      <c r="H10" s="360">
        <f>1/6</f>
        <v>0.16666666666666666</v>
      </c>
      <c r="I10" s="360">
        <f>H10*G10</f>
        <v>0.6666666666666666</v>
      </c>
      <c r="J10" s="570">
        <f>H10*(G10-$I$12)^2</f>
        <v>0.29629629629629656</v>
      </c>
    </row>
    <row r="11" spans="2:10" ht="13.5" thickBot="1">
      <c r="B11" s="344">
        <v>5</v>
      </c>
      <c r="C11" s="360">
        <f t="shared" si="0"/>
        <v>0.16666666666666666</v>
      </c>
      <c r="D11" s="360">
        <f t="shared" si="1"/>
        <v>0.8333333333333333</v>
      </c>
      <c r="E11" s="361">
        <f t="shared" si="2"/>
        <v>0.375</v>
      </c>
      <c r="G11" s="344">
        <v>5</v>
      </c>
      <c r="H11" s="360">
        <f>1/6</f>
        <v>0.16666666666666666</v>
      </c>
      <c r="I11" s="360">
        <f>H11*G11</f>
        <v>0.8333333333333333</v>
      </c>
      <c r="J11" s="570">
        <f>H11*(G11-$I$12)^2</f>
        <v>0.9074074074074079</v>
      </c>
    </row>
    <row r="12" spans="2:10" ht="13.5" thickBot="1">
      <c r="B12" s="555">
        <v>6</v>
      </c>
      <c r="C12" s="571">
        <f t="shared" si="0"/>
        <v>0.16666666666666666</v>
      </c>
      <c r="D12" s="571">
        <f t="shared" si="1"/>
        <v>1</v>
      </c>
      <c r="E12" s="572">
        <f t="shared" si="2"/>
        <v>1.0416666666666665</v>
      </c>
      <c r="G12" s="427" t="s">
        <v>633</v>
      </c>
      <c r="H12" s="270">
        <v>1</v>
      </c>
      <c r="I12" s="573">
        <f>SUM(I7:I11)</f>
        <v>2.666666666666666</v>
      </c>
      <c r="J12" s="574">
        <f>SUM(J7:J11)</f>
        <v>2.2222222222222223</v>
      </c>
    </row>
    <row r="13" spans="2:5" ht="13.5" thickBot="1">
      <c r="B13" s="427" t="s">
        <v>633</v>
      </c>
      <c r="C13" s="270">
        <v>1</v>
      </c>
      <c r="D13" s="573">
        <f>SUM(D7:D12)</f>
        <v>3.5</v>
      </c>
      <c r="E13" s="574">
        <f>SUM(E7:E12)</f>
        <v>2.9166666666666665</v>
      </c>
    </row>
    <row r="15" spans="2:7" ht="12.75">
      <c r="B15" t="s">
        <v>342</v>
      </c>
      <c r="G15" t="s">
        <v>134</v>
      </c>
    </row>
    <row r="16" spans="2:7" ht="12.75">
      <c r="B16" t="s">
        <v>343</v>
      </c>
      <c r="G16" t="s">
        <v>132</v>
      </c>
    </row>
    <row r="17" spans="2:7" ht="12.75">
      <c r="B17" t="s">
        <v>344</v>
      </c>
      <c r="G17" t="s">
        <v>133</v>
      </c>
    </row>
    <row r="19" ht="13.5" thickBot="1"/>
    <row r="20" spans="2:5" ht="13.5" thickBot="1">
      <c r="B20" s="427" t="s">
        <v>345</v>
      </c>
      <c r="C20" s="29" t="s">
        <v>346</v>
      </c>
      <c r="D20" s="567" t="s">
        <v>340</v>
      </c>
      <c r="E20" s="568" t="s">
        <v>341</v>
      </c>
    </row>
    <row r="21" spans="2:5" ht="12.75">
      <c r="B21" s="545">
        <v>0</v>
      </c>
      <c r="C21" s="155">
        <v>0.64</v>
      </c>
      <c r="D21" s="155">
        <f>C21*B21</f>
        <v>0</v>
      </c>
      <c r="E21" s="156">
        <f>C21*(B21-$D$26)^2</f>
        <v>19.36</v>
      </c>
    </row>
    <row r="22" spans="2:5" ht="12.75">
      <c r="B22" s="344">
        <v>5</v>
      </c>
      <c r="C22" s="158">
        <v>0.2</v>
      </c>
      <c r="D22" s="158">
        <f>C22*B22</f>
        <v>1</v>
      </c>
      <c r="E22" s="156">
        <f>C22*(B22-$D$26)^2</f>
        <v>0.05</v>
      </c>
    </row>
    <row r="23" spans="2:5" ht="12.75">
      <c r="B23" s="344">
        <v>10</v>
      </c>
      <c r="C23" s="158">
        <v>0.1</v>
      </c>
      <c r="D23" s="158">
        <f>C23*B23</f>
        <v>1</v>
      </c>
      <c r="E23" s="156">
        <f>C23*(B23-$D$26)^2</f>
        <v>2.025</v>
      </c>
    </row>
    <row r="24" spans="2:5" ht="12.75">
      <c r="B24" s="344">
        <v>50</v>
      </c>
      <c r="C24" s="158">
        <v>0.05</v>
      </c>
      <c r="D24" s="158">
        <f>C24*B24</f>
        <v>2.5</v>
      </c>
      <c r="E24" s="156">
        <f>C24*(B24-$D$26)^2</f>
        <v>99.0125</v>
      </c>
    </row>
    <row r="25" spans="2:5" ht="13.5" thickBot="1">
      <c r="B25" s="555">
        <v>100</v>
      </c>
      <c r="C25" s="267">
        <v>0.01</v>
      </c>
      <c r="D25" s="267">
        <f>C25*B25</f>
        <v>1</v>
      </c>
      <c r="E25" s="156">
        <f>C25*(B25-$D$26)^2</f>
        <v>89.3025</v>
      </c>
    </row>
    <row r="26" spans="2:5" ht="13.5" thickBot="1">
      <c r="B26" s="427" t="s">
        <v>633</v>
      </c>
      <c r="C26" s="270">
        <v>1</v>
      </c>
      <c r="D26" s="270">
        <f>SUM(D21:D25)</f>
        <v>5.5</v>
      </c>
      <c r="E26" s="271">
        <f>SUM(E21:E25)</f>
        <v>209.75</v>
      </c>
    </row>
    <row r="28" ht="12.75">
      <c r="B28" t="s">
        <v>347</v>
      </c>
    </row>
    <row r="29" ht="12.75">
      <c r="B29" t="s">
        <v>348</v>
      </c>
    </row>
    <row r="31" ht="12.75">
      <c r="B31" t="s">
        <v>349</v>
      </c>
    </row>
    <row r="32" ht="12.75">
      <c r="B32" t="s">
        <v>350</v>
      </c>
    </row>
    <row r="33" ht="12.75">
      <c r="B33" t="s">
        <v>131</v>
      </c>
    </row>
    <row r="35" ht="12.75">
      <c r="B35" t="s">
        <v>351</v>
      </c>
    </row>
    <row r="36" ht="12.75">
      <c r="B36" t="s">
        <v>352</v>
      </c>
    </row>
    <row r="37" ht="12.75">
      <c r="B37" t="s">
        <v>353</v>
      </c>
    </row>
    <row r="39" ht="12.75">
      <c r="B39" t="s">
        <v>354</v>
      </c>
    </row>
    <row r="40" ht="12.75">
      <c r="B40" t="s">
        <v>355</v>
      </c>
    </row>
    <row r="41" ht="12.75">
      <c r="B41" t="s">
        <v>356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B4:C32"/>
  <sheetViews>
    <sheetView tabSelected="1" zoomScale="145" zoomScaleNormal="145" workbookViewId="0" topLeftCell="A1">
      <selection activeCell="A1" sqref="A1"/>
    </sheetView>
  </sheetViews>
  <sheetFormatPr defaultColWidth="11.421875" defaultRowHeight="12.75"/>
  <sheetData>
    <row r="4" ht="12.75">
      <c r="B4" t="s">
        <v>357</v>
      </c>
    </row>
    <row r="6" spans="2:3" ht="12.75">
      <c r="B6" s="427" t="s">
        <v>653</v>
      </c>
      <c r="C6" s="48" t="s">
        <v>320</v>
      </c>
    </row>
    <row r="7" spans="2:3" ht="12.75">
      <c r="B7" s="545">
        <v>1</v>
      </c>
      <c r="C7" s="570">
        <f aca="true" t="shared" si="0" ref="C7:C12">1/6</f>
        <v>0.16666666666666666</v>
      </c>
    </row>
    <row r="8" spans="2:3" ht="12.75">
      <c r="B8" s="344">
        <v>2</v>
      </c>
      <c r="C8" s="361">
        <f t="shared" si="0"/>
        <v>0.16666666666666666</v>
      </c>
    </row>
    <row r="9" spans="2:3" ht="12.75">
      <c r="B9" s="344">
        <v>3</v>
      </c>
      <c r="C9" s="361">
        <f t="shared" si="0"/>
        <v>0.16666666666666666</v>
      </c>
    </row>
    <row r="10" spans="2:3" ht="12.75">
      <c r="B10" s="344">
        <v>4</v>
      </c>
      <c r="C10" s="361">
        <f t="shared" si="0"/>
        <v>0.16666666666666666</v>
      </c>
    </row>
    <row r="11" spans="2:3" ht="12.75">
      <c r="B11" s="344">
        <v>5</v>
      </c>
      <c r="C11" s="361">
        <f t="shared" si="0"/>
        <v>0.16666666666666666</v>
      </c>
    </row>
    <row r="12" spans="2:3" ht="12.75">
      <c r="B12" s="488">
        <v>6</v>
      </c>
      <c r="C12" s="575">
        <f t="shared" si="0"/>
        <v>0.16666666666666666</v>
      </c>
    </row>
    <row r="14" ht="12.75">
      <c r="B14" t="s">
        <v>358</v>
      </c>
    </row>
    <row r="16" ht="12.75">
      <c r="B16" t="s">
        <v>130</v>
      </c>
    </row>
    <row r="20" ht="12.75">
      <c r="B20" t="s">
        <v>359</v>
      </c>
    </row>
    <row r="22" spans="2:3" ht="12.75">
      <c r="B22" s="427" t="s">
        <v>345</v>
      </c>
      <c r="C22" s="48" t="s">
        <v>346</v>
      </c>
    </row>
    <row r="23" spans="2:3" ht="12.75">
      <c r="B23" s="545">
        <v>0</v>
      </c>
      <c r="C23" s="156" t="s">
        <v>360</v>
      </c>
    </row>
    <row r="24" spans="2:3" ht="12.75">
      <c r="B24" s="344">
        <v>5</v>
      </c>
      <c r="C24" s="159">
        <v>0.2</v>
      </c>
    </row>
    <row r="25" spans="2:3" ht="12.75">
      <c r="B25" s="344">
        <v>10</v>
      </c>
      <c r="C25" s="159">
        <v>0.1</v>
      </c>
    </row>
    <row r="26" spans="2:3" ht="12.75">
      <c r="B26" s="344">
        <v>50</v>
      </c>
      <c r="C26" s="159">
        <v>0.05</v>
      </c>
    </row>
    <row r="27" spans="2:3" ht="12.75">
      <c r="B27" s="488">
        <v>100</v>
      </c>
      <c r="C27" s="162">
        <v>0.01</v>
      </c>
    </row>
    <row r="29" ht="12.75">
      <c r="B29" t="s">
        <v>361</v>
      </c>
    </row>
    <row r="30" ht="12.75">
      <c r="B30" t="s">
        <v>362</v>
      </c>
    </row>
    <row r="31" ht="12.75">
      <c r="B31" t="s">
        <v>363</v>
      </c>
    </row>
    <row r="32" ht="12.75">
      <c r="B32" t="s">
        <v>364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11.57421875" defaultRowHeight="12.75"/>
  <sheetData>
    <row r="1" ht="12.75">
      <c r="A1" t="s">
        <v>365</v>
      </c>
    </row>
    <row r="2" spans="1:2" ht="12.75">
      <c r="A2" t="s">
        <v>366</v>
      </c>
      <c r="B2" t="s">
        <v>367</v>
      </c>
    </row>
    <row r="3" spans="1:2" ht="12.75">
      <c r="A3" t="s">
        <v>368</v>
      </c>
      <c r="B3" t="s">
        <v>369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11.57421875" defaultRowHeight="12.75"/>
  <sheetData>
    <row r="1" ht="12.75">
      <c r="A1" t="s">
        <v>365</v>
      </c>
    </row>
    <row r="2" spans="1:2" ht="12.75">
      <c r="A2" t="s">
        <v>366</v>
      </c>
      <c r="B2" t="s">
        <v>370</v>
      </c>
    </row>
    <row r="3" spans="1:2" ht="12.75">
      <c r="A3" t="s">
        <v>368</v>
      </c>
      <c r="B3" t="s">
        <v>369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I14:K19"/>
  <sheetViews>
    <sheetView workbookViewId="0" topLeftCell="A1">
      <selection activeCell="A1" sqref="A1"/>
    </sheetView>
  </sheetViews>
  <sheetFormatPr defaultColWidth="11.57421875" defaultRowHeight="12.75"/>
  <sheetData>
    <row r="14" spans="9:11" ht="12.75">
      <c r="I14">
        <v>0</v>
      </c>
      <c r="J14">
        <v>0</v>
      </c>
      <c r="K14">
        <v>0</v>
      </c>
    </row>
    <row r="15" spans="9:11" ht="12.75">
      <c r="I15">
        <v>0.2</v>
      </c>
      <c r="J15">
        <v>0.2</v>
      </c>
      <c r="K15">
        <v>0.05</v>
      </c>
    </row>
    <row r="16" spans="9:11" ht="12.75">
      <c r="I16">
        <v>0.5</v>
      </c>
      <c r="J16">
        <v>0.5</v>
      </c>
      <c r="K16">
        <v>0.2</v>
      </c>
    </row>
    <row r="17" spans="9:11" ht="12.75">
      <c r="I17">
        <v>0.9</v>
      </c>
      <c r="J17">
        <v>0.9</v>
      </c>
      <c r="K17">
        <v>0.7</v>
      </c>
    </row>
    <row r="18" spans="9:11" ht="12.75">
      <c r="I18">
        <v>0.98</v>
      </c>
      <c r="J18">
        <v>0.98</v>
      </c>
      <c r="K18">
        <v>0.9</v>
      </c>
    </row>
    <row r="19" spans="9:11" ht="12.75">
      <c r="I19">
        <v>1</v>
      </c>
      <c r="J19">
        <v>1</v>
      </c>
      <c r="K19">
        <v>1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"/>
    </sheetView>
  </sheetViews>
  <sheetFormatPr defaultColWidth="11.421875" defaultRowHeight="12.75"/>
  <sheetData>
    <row r="1" spans="1:2" ht="12.75">
      <c r="A1" s="26"/>
      <c r="B1" s="2"/>
    </row>
    <row r="2" ht="12.75">
      <c r="B2" s="2"/>
    </row>
    <row r="3" ht="12.75">
      <c r="B3" s="2"/>
    </row>
    <row r="4" spans="1:9" ht="12.75">
      <c r="A4" s="2"/>
      <c r="B4" s="27" t="s">
        <v>626</v>
      </c>
      <c r="C4" s="28" t="s">
        <v>627</v>
      </c>
      <c r="D4" s="29" t="s">
        <v>628</v>
      </c>
      <c r="E4" s="29" t="s">
        <v>629</v>
      </c>
      <c r="F4" s="29" t="s">
        <v>630</v>
      </c>
      <c r="G4" s="29" t="s">
        <v>631</v>
      </c>
      <c r="H4" s="30" t="s">
        <v>632</v>
      </c>
      <c r="I4" s="27" t="s">
        <v>633</v>
      </c>
    </row>
    <row r="5" spans="2:9" ht="12.75">
      <c r="B5" s="31" t="s">
        <v>634</v>
      </c>
      <c r="C5" s="32">
        <v>25</v>
      </c>
      <c r="D5" s="11">
        <v>15</v>
      </c>
      <c r="E5" s="11">
        <v>90</v>
      </c>
      <c r="F5" s="11">
        <v>30</v>
      </c>
      <c r="G5" s="11">
        <v>50</v>
      </c>
      <c r="H5" s="33">
        <v>10</v>
      </c>
      <c r="I5" s="34"/>
    </row>
    <row r="6" spans="2:9" ht="12.75">
      <c r="B6" s="35" t="s">
        <v>635</v>
      </c>
      <c r="C6" s="36">
        <v>5</v>
      </c>
      <c r="D6" s="14">
        <v>35</v>
      </c>
      <c r="E6" s="14">
        <v>60</v>
      </c>
      <c r="F6" s="14">
        <v>25</v>
      </c>
      <c r="G6" s="14">
        <v>35</v>
      </c>
      <c r="H6" s="37">
        <v>30</v>
      </c>
      <c r="I6" s="38"/>
    </row>
    <row r="7" spans="2:9" ht="12.75">
      <c r="B7" s="39" t="s">
        <v>636</v>
      </c>
      <c r="C7" s="40">
        <v>10</v>
      </c>
      <c r="D7" s="41">
        <v>10</v>
      </c>
      <c r="E7" s="41">
        <v>70</v>
      </c>
      <c r="F7" s="41">
        <v>50</v>
      </c>
      <c r="G7" s="41">
        <v>100</v>
      </c>
      <c r="H7" s="42">
        <v>30</v>
      </c>
      <c r="I7" s="43"/>
    </row>
    <row r="8" ht="12.75">
      <c r="B8" s="2"/>
    </row>
    <row r="9" ht="12.75">
      <c r="B9" s="2"/>
    </row>
    <row r="10" ht="12.75">
      <c r="B10" s="2"/>
    </row>
    <row r="11" spans="1:10" ht="12.75">
      <c r="A11" s="2"/>
      <c r="B11" s="44" t="s">
        <v>637</v>
      </c>
      <c r="C11" s="45" t="s">
        <v>638</v>
      </c>
      <c r="D11" s="46" t="s">
        <v>639</v>
      </c>
      <c r="E11" s="2"/>
      <c r="F11" s="2"/>
      <c r="G11" s="27" t="s">
        <v>640</v>
      </c>
      <c r="H11" s="28" t="s">
        <v>641</v>
      </c>
      <c r="I11" s="29" t="s">
        <v>642</v>
      </c>
      <c r="J11" s="66" t="s">
        <v>643</v>
      </c>
    </row>
    <row r="12" spans="2:10" ht="12.75">
      <c r="B12" s="49" t="s">
        <v>645</v>
      </c>
      <c r="C12" s="50">
        <v>1000</v>
      </c>
      <c r="D12" s="51">
        <v>150</v>
      </c>
      <c r="G12" s="52">
        <v>0</v>
      </c>
      <c r="H12" s="32">
        <v>49</v>
      </c>
      <c r="I12" s="11"/>
      <c r="J12" s="53"/>
    </row>
    <row r="13" spans="2:10" ht="12.75">
      <c r="B13" s="35" t="s">
        <v>646</v>
      </c>
      <c r="C13" s="36">
        <v>500</v>
      </c>
      <c r="D13" s="54">
        <v>0</v>
      </c>
      <c r="G13" s="55">
        <v>1</v>
      </c>
      <c r="H13" s="36">
        <v>154</v>
      </c>
      <c r="I13" s="14"/>
      <c r="J13" s="54"/>
    </row>
    <row r="14" spans="2:10" ht="12.75">
      <c r="B14" s="35" t="s">
        <v>647</v>
      </c>
      <c r="C14" s="36">
        <v>3500</v>
      </c>
      <c r="D14" s="54">
        <v>300</v>
      </c>
      <c r="G14" s="55">
        <v>2</v>
      </c>
      <c r="H14" s="36">
        <v>172</v>
      </c>
      <c r="I14" s="14"/>
      <c r="J14" s="54"/>
    </row>
    <row r="15" spans="2:10" ht="12.75">
      <c r="B15" s="35" t="s">
        <v>648</v>
      </c>
      <c r="C15" s="36">
        <v>750</v>
      </c>
      <c r="D15" s="54">
        <v>-100</v>
      </c>
      <c r="G15" s="55">
        <v>3</v>
      </c>
      <c r="H15" s="36">
        <v>97</v>
      </c>
      <c r="I15" s="14"/>
      <c r="J15" s="54"/>
    </row>
    <row r="16" spans="2:10" ht="12.75">
      <c r="B16" s="39" t="s">
        <v>649</v>
      </c>
      <c r="C16" s="40">
        <v>800</v>
      </c>
      <c r="D16" s="56">
        <v>100</v>
      </c>
      <c r="G16" s="57" t="s">
        <v>650</v>
      </c>
      <c r="H16" s="58">
        <v>69</v>
      </c>
      <c r="I16" s="17"/>
      <c r="J16" s="59"/>
    </row>
    <row r="17" spans="2:10" ht="12.75">
      <c r="B17" s="60" t="s">
        <v>633</v>
      </c>
      <c r="C17" s="61"/>
      <c r="D17" s="62"/>
      <c r="G17" s="27" t="s">
        <v>633</v>
      </c>
      <c r="H17" s="63"/>
      <c r="I17" s="64"/>
      <c r="J17" s="24"/>
    </row>
    <row r="18" ht="12.75">
      <c r="B18" s="2"/>
    </row>
    <row r="19" ht="12.75">
      <c r="B19" s="2"/>
    </row>
    <row r="20" ht="12.75">
      <c r="B20" s="2"/>
    </row>
    <row r="21" spans="1:9" ht="12.75">
      <c r="A21" s="2"/>
      <c r="B21" s="44" t="s">
        <v>626</v>
      </c>
      <c r="C21" s="45" t="s">
        <v>641</v>
      </c>
      <c r="D21" s="46" t="s">
        <v>642</v>
      </c>
      <c r="E21" s="2"/>
      <c r="F21" s="2"/>
      <c r="G21" s="2"/>
      <c r="H21" s="2"/>
      <c r="I21" s="2"/>
    </row>
    <row r="22" spans="2:4" ht="12.75">
      <c r="B22" s="49" t="s">
        <v>627</v>
      </c>
      <c r="C22" s="50">
        <v>25</v>
      </c>
      <c r="D22" s="51"/>
    </row>
    <row r="23" spans="2:4" ht="12.75">
      <c r="B23" s="35" t="s">
        <v>628</v>
      </c>
      <c r="C23" s="36">
        <v>15</v>
      </c>
      <c r="D23" s="54"/>
    </row>
    <row r="24" spans="2:4" ht="12.75">
      <c r="B24" s="35" t="s">
        <v>629</v>
      </c>
      <c r="C24" s="36">
        <v>90</v>
      </c>
      <c r="D24" s="54"/>
    </row>
    <row r="25" spans="2:4" ht="12.75">
      <c r="B25" s="35" t="s">
        <v>630</v>
      </c>
      <c r="C25" s="36">
        <v>30</v>
      </c>
      <c r="D25" s="54"/>
    </row>
    <row r="26" spans="2:4" ht="12.75">
      <c r="B26" s="35" t="s">
        <v>631</v>
      </c>
      <c r="C26" s="36">
        <v>50</v>
      </c>
      <c r="D26" s="54"/>
    </row>
    <row r="27" spans="2:4" ht="12.75">
      <c r="B27" s="39" t="s">
        <v>632</v>
      </c>
      <c r="C27" s="40">
        <v>10</v>
      </c>
      <c r="D27" s="56"/>
    </row>
    <row r="28" spans="2:4" ht="12.75">
      <c r="B28" s="60" t="s">
        <v>633</v>
      </c>
      <c r="C28" s="61"/>
      <c r="D28" s="62"/>
    </row>
    <row r="29" ht="12.75">
      <c r="B29" s="2"/>
    </row>
    <row r="30" ht="12.75">
      <c r="B30" s="2"/>
    </row>
    <row r="31" ht="12.75">
      <c r="B31" s="2"/>
    </row>
    <row r="32" spans="1:9" ht="12.75">
      <c r="A32" s="2"/>
      <c r="B32" s="44" t="s">
        <v>638</v>
      </c>
      <c r="C32" s="45" t="s">
        <v>641</v>
      </c>
      <c r="D32" s="67" t="s">
        <v>642</v>
      </c>
      <c r="E32" s="67" t="s">
        <v>652</v>
      </c>
      <c r="F32" s="46" t="s">
        <v>643</v>
      </c>
      <c r="G32" s="2"/>
      <c r="H32" s="2"/>
      <c r="I32" s="2"/>
    </row>
    <row r="33" spans="2:6" ht="12.75">
      <c r="B33" s="49" t="s">
        <v>654</v>
      </c>
      <c r="C33" s="50">
        <v>12</v>
      </c>
      <c r="D33" s="68"/>
      <c r="E33" s="68"/>
      <c r="F33" s="51"/>
    </row>
    <row r="34" spans="2:6" ht="12.75">
      <c r="B34" s="35" t="s">
        <v>655</v>
      </c>
      <c r="C34" s="36">
        <v>25</v>
      </c>
      <c r="D34" s="14"/>
      <c r="E34" s="14"/>
      <c r="F34" s="54"/>
    </row>
    <row r="35" spans="2:6" ht="12.75">
      <c r="B35" s="35" t="s">
        <v>656</v>
      </c>
      <c r="C35" s="36">
        <v>37</v>
      </c>
      <c r="D35" s="14"/>
      <c r="E35" s="14"/>
      <c r="F35" s="54"/>
    </row>
    <row r="36" spans="2:6" ht="12.75">
      <c r="B36" s="35" t="s">
        <v>657</v>
      </c>
      <c r="C36" s="36">
        <v>31</v>
      </c>
      <c r="D36" s="14"/>
      <c r="E36" s="14"/>
      <c r="F36" s="54"/>
    </row>
    <row r="37" spans="2:6" ht="12.75">
      <c r="B37" s="35" t="s">
        <v>658</v>
      </c>
      <c r="C37" s="36">
        <v>16</v>
      </c>
      <c r="D37" s="14"/>
      <c r="E37" s="14"/>
      <c r="F37" s="54"/>
    </row>
    <row r="38" spans="2:6" ht="12.75">
      <c r="B38" s="35" t="s">
        <v>659</v>
      </c>
      <c r="C38" s="36">
        <v>7</v>
      </c>
      <c r="D38" s="14"/>
      <c r="E38" s="14"/>
      <c r="F38" s="54"/>
    </row>
    <row r="39" spans="2:6" ht="12.75">
      <c r="B39" s="39" t="s">
        <v>660</v>
      </c>
      <c r="C39" s="40">
        <v>2</v>
      </c>
      <c r="D39" s="41"/>
      <c r="E39" s="41"/>
      <c r="F39" s="56"/>
    </row>
    <row r="40" spans="2:6" ht="12.75">
      <c r="B40" s="60" t="s">
        <v>633</v>
      </c>
      <c r="C40" s="61"/>
      <c r="D40" s="69"/>
      <c r="E40" s="69"/>
      <c r="F40" s="62"/>
    </row>
    <row r="41" ht="12.75">
      <c r="B41" s="2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H37"/>
  <sheetViews>
    <sheetView workbookViewId="0" topLeftCell="A1">
      <selection activeCell="A1" sqref="A1"/>
    </sheetView>
  </sheetViews>
  <sheetFormatPr defaultColWidth="11.421875" defaultRowHeight="12.75"/>
  <cols>
    <col min="2" max="2" width="11.421875" style="2" customWidth="1"/>
  </cols>
  <sheetData>
    <row r="4" spans="2:8" s="2" customFormat="1" ht="12.75">
      <c r="B4" s="27" t="s">
        <v>626</v>
      </c>
      <c r="C4" s="28" t="s">
        <v>627</v>
      </c>
      <c r="D4" s="29" t="s">
        <v>628</v>
      </c>
      <c r="E4" s="29" t="s">
        <v>629</v>
      </c>
      <c r="F4" s="29" t="s">
        <v>630</v>
      </c>
      <c r="G4" s="29" t="s">
        <v>631</v>
      </c>
      <c r="H4" s="48" t="s">
        <v>632</v>
      </c>
    </row>
    <row r="5" spans="2:8" ht="12.75">
      <c r="B5" s="31" t="s">
        <v>634</v>
      </c>
      <c r="C5" s="32">
        <v>25</v>
      </c>
      <c r="D5" s="11">
        <v>15</v>
      </c>
      <c r="E5" s="11">
        <v>90</v>
      </c>
      <c r="F5" s="11">
        <v>30</v>
      </c>
      <c r="G5" s="11">
        <v>50</v>
      </c>
      <c r="H5" s="53">
        <v>10</v>
      </c>
    </row>
    <row r="6" spans="2:8" ht="12.75">
      <c r="B6" s="35" t="s">
        <v>635</v>
      </c>
      <c r="C6" s="36">
        <v>5</v>
      </c>
      <c r="D6" s="14">
        <v>35</v>
      </c>
      <c r="E6" s="14">
        <v>60</v>
      </c>
      <c r="F6" s="14">
        <v>25</v>
      </c>
      <c r="G6" s="14">
        <v>35</v>
      </c>
      <c r="H6" s="54">
        <v>30</v>
      </c>
    </row>
    <row r="7" spans="2:8" ht="12.75">
      <c r="B7" s="39" t="s">
        <v>636</v>
      </c>
      <c r="C7" s="40">
        <v>10</v>
      </c>
      <c r="D7" s="41">
        <v>10</v>
      </c>
      <c r="E7" s="41">
        <v>70</v>
      </c>
      <c r="F7" s="41">
        <v>50</v>
      </c>
      <c r="G7" s="41">
        <v>100</v>
      </c>
      <c r="H7" s="56">
        <v>30</v>
      </c>
    </row>
    <row r="11" spans="2:7" s="2" customFormat="1" ht="12.75">
      <c r="B11" s="27" t="s">
        <v>637</v>
      </c>
      <c r="C11" s="28" t="s">
        <v>638</v>
      </c>
      <c r="D11" s="48" t="s">
        <v>639</v>
      </c>
      <c r="F11" s="27" t="s">
        <v>640</v>
      </c>
      <c r="G11" s="70" t="s">
        <v>641</v>
      </c>
    </row>
    <row r="12" spans="2:7" ht="12.75">
      <c r="B12" s="31" t="s">
        <v>645</v>
      </c>
      <c r="C12" s="32">
        <v>1000</v>
      </c>
      <c r="D12" s="53">
        <v>150</v>
      </c>
      <c r="F12" s="52">
        <v>0</v>
      </c>
      <c r="G12" s="71">
        <v>49</v>
      </c>
    </row>
    <row r="13" spans="2:7" ht="12.75">
      <c r="B13" s="35" t="s">
        <v>646</v>
      </c>
      <c r="C13" s="36">
        <v>500</v>
      </c>
      <c r="D13" s="54">
        <v>0</v>
      </c>
      <c r="F13" s="55">
        <v>1</v>
      </c>
      <c r="G13" s="72">
        <v>154</v>
      </c>
    </row>
    <row r="14" spans="2:7" ht="12.75">
      <c r="B14" s="35" t="s">
        <v>647</v>
      </c>
      <c r="C14" s="36">
        <v>3500</v>
      </c>
      <c r="D14" s="54">
        <v>300</v>
      </c>
      <c r="F14" s="55">
        <v>2</v>
      </c>
      <c r="G14" s="72">
        <v>172</v>
      </c>
    </row>
    <row r="15" spans="2:7" ht="12.75">
      <c r="B15" s="35" t="s">
        <v>648</v>
      </c>
      <c r="C15" s="36">
        <v>750</v>
      </c>
      <c r="D15" s="54">
        <v>-100</v>
      </c>
      <c r="F15" s="55">
        <v>3</v>
      </c>
      <c r="G15" s="72">
        <v>97</v>
      </c>
    </row>
    <row r="16" spans="2:7" ht="12.75">
      <c r="B16" s="39" t="s">
        <v>649</v>
      </c>
      <c r="C16" s="40">
        <v>800</v>
      </c>
      <c r="D16" s="56">
        <v>100</v>
      </c>
      <c r="F16" s="73" t="s">
        <v>650</v>
      </c>
      <c r="G16" s="74">
        <v>69</v>
      </c>
    </row>
    <row r="20" spans="2:3" s="2" customFormat="1" ht="12.75">
      <c r="B20" s="27" t="s">
        <v>626</v>
      </c>
      <c r="C20" s="70" t="s">
        <v>661</v>
      </c>
    </row>
    <row r="21" spans="2:3" ht="12.75">
      <c r="B21" s="31" t="s">
        <v>627</v>
      </c>
      <c r="C21" s="71">
        <v>25</v>
      </c>
    </row>
    <row r="22" spans="2:3" ht="12.75">
      <c r="B22" s="35" t="s">
        <v>628</v>
      </c>
      <c r="C22" s="72">
        <v>15</v>
      </c>
    </row>
    <row r="23" spans="2:3" ht="12.75">
      <c r="B23" s="35" t="s">
        <v>629</v>
      </c>
      <c r="C23" s="72">
        <v>90</v>
      </c>
    </row>
    <row r="24" spans="2:3" ht="12.75">
      <c r="B24" s="35" t="s">
        <v>630</v>
      </c>
      <c r="C24" s="72">
        <v>30</v>
      </c>
    </row>
    <row r="25" spans="2:3" ht="12.75">
      <c r="B25" s="35" t="s">
        <v>631</v>
      </c>
      <c r="C25" s="72">
        <v>50</v>
      </c>
    </row>
    <row r="26" spans="2:3" ht="12.75">
      <c r="B26" s="39" t="s">
        <v>632</v>
      </c>
      <c r="C26" s="74">
        <v>10</v>
      </c>
    </row>
    <row r="30" spans="2:3" s="2" customFormat="1" ht="12.75">
      <c r="B30" s="27" t="s">
        <v>638</v>
      </c>
      <c r="C30" s="70" t="s">
        <v>641</v>
      </c>
    </row>
    <row r="31" spans="2:3" ht="12.75">
      <c r="B31" s="31" t="s">
        <v>654</v>
      </c>
      <c r="C31" s="71">
        <v>12</v>
      </c>
    </row>
    <row r="32" spans="2:3" ht="12.75">
      <c r="B32" s="35" t="s">
        <v>655</v>
      </c>
      <c r="C32" s="72">
        <v>25</v>
      </c>
    </row>
    <row r="33" spans="2:3" ht="12.75">
      <c r="B33" s="35" t="s">
        <v>656</v>
      </c>
      <c r="C33" s="72">
        <v>37</v>
      </c>
    </row>
    <row r="34" spans="2:3" ht="12.75">
      <c r="B34" s="35" t="s">
        <v>657</v>
      </c>
      <c r="C34" s="72">
        <v>31</v>
      </c>
    </row>
    <row r="35" spans="2:3" ht="12.75">
      <c r="B35" s="35" t="s">
        <v>658</v>
      </c>
      <c r="C35" s="72">
        <v>16</v>
      </c>
    </row>
    <row r="36" spans="2:3" ht="12.75">
      <c r="B36" s="35" t="s">
        <v>659</v>
      </c>
      <c r="C36" s="72">
        <v>7</v>
      </c>
    </row>
    <row r="37" spans="2:3" ht="12.75">
      <c r="B37" s="39" t="s">
        <v>660</v>
      </c>
      <c r="C37" s="74">
        <v>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D16"/>
  <sheetViews>
    <sheetView workbookViewId="0" topLeftCell="A1">
      <selection activeCell="A1" sqref="A1"/>
    </sheetView>
  </sheetViews>
  <sheetFormatPr defaultColWidth="11.421875" defaultRowHeight="12.75"/>
  <cols>
    <col min="1" max="1" width="11.00390625" style="0" customWidth="1"/>
    <col min="2" max="2" width="31.140625" style="0" customWidth="1"/>
    <col min="3" max="16384" width="11.7109375" style="0" customWidth="1"/>
  </cols>
  <sheetData>
    <row r="2" spans="2:4" ht="15.75">
      <c r="B2" s="75" t="s">
        <v>662</v>
      </c>
      <c r="C2" s="76"/>
      <c r="D2" s="76"/>
    </row>
    <row r="3" spans="2:4" ht="12.75">
      <c r="B3" s="77"/>
      <c r="C3" s="76"/>
      <c r="D3" s="76"/>
    </row>
    <row r="4" spans="2:4" s="78" customFormat="1" ht="12.75">
      <c r="B4" s="79"/>
      <c r="C4" s="80">
        <v>2002</v>
      </c>
      <c r="D4" s="81">
        <v>2003</v>
      </c>
    </row>
    <row r="5" spans="2:4" s="78" customFormat="1" ht="12.75">
      <c r="B5" s="82" t="s">
        <v>663</v>
      </c>
      <c r="C5" s="83">
        <v>16852</v>
      </c>
      <c r="D5" s="84">
        <v>16606</v>
      </c>
    </row>
    <row r="6" spans="2:4" s="78" customFormat="1" ht="12.75">
      <c r="B6" s="85" t="s">
        <v>664</v>
      </c>
      <c r="C6" s="86">
        <v>17531</v>
      </c>
      <c r="D6" s="87">
        <v>17585</v>
      </c>
    </row>
    <row r="7" spans="2:4" s="78" customFormat="1" ht="12.75">
      <c r="B7" s="85" t="s">
        <v>665</v>
      </c>
      <c r="C7" s="86">
        <v>18646</v>
      </c>
      <c r="D7" s="87">
        <v>18459</v>
      </c>
    </row>
    <row r="8" spans="2:4" s="78" customFormat="1" ht="12.75">
      <c r="B8" s="85" t="s">
        <v>666</v>
      </c>
      <c r="C8" s="86">
        <v>20337</v>
      </c>
      <c r="D8" s="87">
        <v>20925</v>
      </c>
    </row>
    <row r="9" spans="2:4" s="78" customFormat="1" ht="12.75">
      <c r="B9" s="85" t="s">
        <v>667</v>
      </c>
      <c r="C9" s="86">
        <v>17344</v>
      </c>
      <c r="D9" s="87">
        <v>18318</v>
      </c>
    </row>
    <row r="10" spans="2:4" s="78" customFormat="1" ht="12.75">
      <c r="B10" s="88" t="s">
        <v>668</v>
      </c>
      <c r="C10" s="89">
        <v>16150</v>
      </c>
      <c r="D10" s="90">
        <v>16522</v>
      </c>
    </row>
    <row r="11" spans="2:4" s="78" customFormat="1" ht="12.75">
      <c r="B11" s="91" t="s">
        <v>669</v>
      </c>
      <c r="C11" s="92">
        <v>16231</v>
      </c>
      <c r="D11" s="93">
        <v>16280</v>
      </c>
    </row>
    <row r="12" spans="2:4" s="78" customFormat="1" ht="12.75">
      <c r="B12" s="94" t="s">
        <v>670</v>
      </c>
      <c r="C12" s="95">
        <v>18256</v>
      </c>
      <c r="D12" s="96">
        <v>18336</v>
      </c>
    </row>
    <row r="13" spans="2:4" s="78" customFormat="1" ht="12.75">
      <c r="B13" s="97" t="s">
        <v>671</v>
      </c>
      <c r="C13" s="98">
        <v>16688</v>
      </c>
      <c r="D13" s="99">
        <v>17298</v>
      </c>
    </row>
    <row r="14" spans="2:4" s="78" customFormat="1" ht="12.75">
      <c r="B14" s="100" t="s">
        <v>672</v>
      </c>
      <c r="C14" s="101">
        <v>17462</v>
      </c>
      <c r="D14" s="102">
        <v>17654</v>
      </c>
    </row>
    <row r="15" s="78" customFormat="1" ht="12.75"/>
    <row r="16" s="78" customFormat="1" ht="12.75">
      <c r="B16" s="103" t="s">
        <v>673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71093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FNSP</cp:lastModifiedBy>
  <dcterms:modified xsi:type="dcterms:W3CDTF">2012-04-13T12:15:53Z</dcterms:modified>
  <cp:category/>
  <cp:version/>
  <cp:contentType/>
  <cp:contentStatus/>
</cp:coreProperties>
</file>